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alter\Documents\Excel\wf\homepage\"/>
    </mc:Choice>
  </mc:AlternateContent>
  <bookViews>
    <workbookView xWindow="960" yWindow="876" windowWidth="14340" windowHeight="8208" activeTab="2"/>
  </bookViews>
  <sheets>
    <sheet name="info" sheetId="1" r:id="rId1"/>
    <sheet name="Zinsstaffel" sheetId="2" r:id="rId2"/>
    <sheet name="Kapitalanlage" sheetId="4" r:id="rId3"/>
  </sheets>
  <definedNames>
    <definedName name="_xlnm.Print_Area" localSheetId="0">info!$B$1:$I$91</definedName>
    <definedName name="_xlnm.Print_Area" localSheetId="2">Kapitalanlage!$A$1:$D$19</definedName>
    <definedName name="_xlnm.Print_Area" localSheetId="1">INDIRECT(Zinsstaffel!$M$14)</definedName>
    <definedName name="_xlnm.Print_Titles" localSheetId="1">Zinsstaffel!$21:$22</definedName>
  </definedNames>
  <calcPr calcId="152511" iterateCount="1"/>
  <fileRecoveryPr autoRecover="0"/>
</workbook>
</file>

<file path=xl/calcChain.xml><?xml version="1.0" encoding="utf-8"?>
<calcChain xmlns="http://schemas.openxmlformats.org/spreadsheetml/2006/main">
  <c r="E14" i="2" l="1"/>
  <c r="F12" i="4" l="1"/>
  <c r="E7" i="4"/>
  <c r="B14" i="4" s="1"/>
  <c r="E8" i="4"/>
  <c r="E21" i="4" s="1"/>
  <c r="G2" i="4"/>
  <c r="G6" i="4" s="1"/>
  <c r="B23" i="2"/>
  <c r="B24" i="2" s="1"/>
  <c r="R23" i="2"/>
  <c r="B51" i="2"/>
  <c r="J51" i="2" s="1"/>
  <c r="B52" i="2"/>
  <c r="B53" i="2"/>
  <c r="I53" i="2" s="1"/>
  <c r="B54" i="2"/>
  <c r="V54" i="2" s="1"/>
  <c r="B55" i="2"/>
  <c r="J55" i="2" s="1"/>
  <c r="B56" i="2"/>
  <c r="B57" i="2"/>
  <c r="I57" i="2" s="1"/>
  <c r="B58" i="2"/>
  <c r="V58" i="2" s="1"/>
  <c r="B59" i="2"/>
  <c r="J59" i="2" s="1"/>
  <c r="B60" i="2"/>
  <c r="J60" i="2" s="1"/>
  <c r="B61" i="2"/>
  <c r="V61" i="2" s="1"/>
  <c r="B62" i="2"/>
  <c r="J62" i="2" s="1"/>
  <c r="B63" i="2"/>
  <c r="L63" i="2" s="1"/>
  <c r="B64" i="2"/>
  <c r="B65" i="2"/>
  <c r="J65" i="2" s="1"/>
  <c r="B66" i="2"/>
  <c r="J66" i="2" s="1"/>
  <c r="B67" i="2"/>
  <c r="J67" i="2" s="1"/>
  <c r="B68" i="2"/>
  <c r="B69" i="2"/>
  <c r="L69" i="2" s="1"/>
  <c r="B70" i="2"/>
  <c r="J70" i="2" s="1"/>
  <c r="B71" i="2"/>
  <c r="O71" i="2" s="1"/>
  <c r="B72" i="2"/>
  <c r="B73" i="2"/>
  <c r="I73" i="2" s="1"/>
  <c r="B74" i="2"/>
  <c r="J74" i="2" s="1"/>
  <c r="B75" i="2"/>
  <c r="J75" i="2" s="1"/>
  <c r="B76" i="2"/>
  <c r="B77" i="2"/>
  <c r="V77" i="2" s="1"/>
  <c r="B78" i="2"/>
  <c r="J78" i="2" s="1"/>
  <c r="B79" i="2"/>
  <c r="L79" i="2" s="1"/>
  <c r="B80" i="2"/>
  <c r="B81" i="2"/>
  <c r="J81" i="2" s="1"/>
  <c r="B82" i="2"/>
  <c r="J82" i="2" s="1"/>
  <c r="B83" i="2"/>
  <c r="J83" i="2" s="1"/>
  <c r="B84" i="2"/>
  <c r="B85" i="2"/>
  <c r="L85" i="2" s="1"/>
  <c r="B86" i="2"/>
  <c r="J86" i="2" s="1"/>
  <c r="B87" i="2"/>
  <c r="O87" i="2" s="1"/>
  <c r="B88" i="2"/>
  <c r="B89" i="2"/>
  <c r="I89" i="2" s="1"/>
  <c r="B90" i="2"/>
  <c r="J90" i="2" s="1"/>
  <c r="B91" i="2"/>
  <c r="J91" i="2" s="1"/>
  <c r="B92" i="2"/>
  <c r="B93" i="2"/>
  <c r="L93" i="2" s="1"/>
  <c r="B94" i="2"/>
  <c r="J94" i="2" s="1"/>
  <c r="B95" i="2"/>
  <c r="V95" i="2" s="1"/>
  <c r="B96" i="2"/>
  <c r="B97" i="2"/>
  <c r="O97" i="2" s="1"/>
  <c r="B98" i="2"/>
  <c r="L98" i="2" s="1"/>
  <c r="B99" i="2"/>
  <c r="J99" i="2" s="1"/>
  <c r="N99" i="2" s="1"/>
  <c r="B100" i="2"/>
  <c r="B101" i="2"/>
  <c r="I101" i="2" s="1"/>
  <c r="B102" i="2"/>
  <c r="J102" i="2" s="1"/>
  <c r="B103" i="2"/>
  <c r="L103" i="2" s="1"/>
  <c r="B104" i="2"/>
  <c r="B105" i="2"/>
  <c r="O105" i="2" s="1"/>
  <c r="I23" i="2"/>
  <c r="M6" i="2"/>
  <c r="C11" i="4"/>
  <c r="E15" i="4"/>
  <c r="B2" i="4"/>
  <c r="C18" i="4"/>
  <c r="D2" i="4"/>
  <c r="M3" i="2"/>
  <c r="J18" i="2" s="1"/>
  <c r="L23" i="2"/>
  <c r="Q1" i="2"/>
  <c r="Q2" i="2"/>
  <c r="U20" i="2" s="1"/>
  <c r="V23" i="2"/>
  <c r="T105" i="2"/>
  <c r="T104" i="2" s="1"/>
  <c r="T103" i="2" s="1"/>
  <c r="T102" i="2" s="1"/>
  <c r="T101" i="2" s="1"/>
  <c r="T100" i="2" s="1"/>
  <c r="T99" i="2" s="1"/>
  <c r="T98" i="2" s="1"/>
  <c r="T97" i="2" s="1"/>
  <c r="T96" i="2" s="1"/>
  <c r="T95" i="2" s="1"/>
  <c r="T94" i="2" s="1"/>
  <c r="T93" i="2" s="1"/>
  <c r="T92" i="2" s="1"/>
  <c r="T91" i="2" s="1"/>
  <c r="T90" i="2" s="1"/>
  <c r="T89" i="2" s="1"/>
  <c r="T88" i="2" s="1"/>
  <c r="T87" i="2" s="1"/>
  <c r="T86" i="2" s="1"/>
  <c r="T85" i="2" s="1"/>
  <c r="T84" i="2" s="1"/>
  <c r="T83" i="2" s="1"/>
  <c r="T82" i="2" s="1"/>
  <c r="T81" i="2" s="1"/>
  <c r="T80" i="2" s="1"/>
  <c r="T79" i="2" s="1"/>
  <c r="T78" i="2" s="1"/>
  <c r="T77" i="2" s="1"/>
  <c r="T76" i="2" s="1"/>
  <c r="T75" i="2" s="1"/>
  <c r="T74" i="2" s="1"/>
  <c r="T73" i="2" s="1"/>
  <c r="T72" i="2" s="1"/>
  <c r="T71" i="2" s="1"/>
  <c r="T70" i="2" s="1"/>
  <c r="T69" i="2" s="1"/>
  <c r="T68" i="2" s="1"/>
  <c r="T67" i="2" s="1"/>
  <c r="T66" i="2" s="1"/>
  <c r="T65" i="2" s="1"/>
  <c r="T64" i="2" s="1"/>
  <c r="T63" i="2" s="1"/>
  <c r="T62" i="2" s="1"/>
  <c r="T61" i="2" s="1"/>
  <c r="T60" i="2" s="1"/>
  <c r="T59" i="2" s="1"/>
  <c r="T58" i="2" s="1"/>
  <c r="T57" i="2" s="1"/>
  <c r="T56" i="2" s="1"/>
  <c r="T55" i="2" s="1"/>
  <c r="T54" i="2" s="1"/>
  <c r="T53" i="2" s="1"/>
  <c r="T52" i="2" s="1"/>
  <c r="T51" i="2" s="1"/>
  <c r="T50" i="2" s="1"/>
  <c r="T49" i="2" s="1"/>
  <c r="T48" i="2" s="1"/>
  <c r="T47" i="2" s="1"/>
  <c r="T46" i="2" s="1"/>
  <c r="T45" i="2" s="1"/>
  <c r="T44" i="2" s="1"/>
  <c r="T43" i="2" s="1"/>
  <c r="T42" i="2" s="1"/>
  <c r="T41" i="2" s="1"/>
  <c r="T40" i="2" s="1"/>
  <c r="T39" i="2" s="1"/>
  <c r="T38" i="2" s="1"/>
  <c r="T37" i="2" s="1"/>
  <c r="T36" i="2" s="1"/>
  <c r="T35" i="2" s="1"/>
  <c r="T34" i="2" s="1"/>
  <c r="T33" i="2" s="1"/>
  <c r="T32" i="2" s="1"/>
  <c r="T31" i="2" s="1"/>
  <c r="T30" i="2" s="1"/>
  <c r="T29" i="2" s="1"/>
  <c r="T28" i="2" s="1"/>
  <c r="T27" i="2" s="1"/>
  <c r="T26" i="2" s="1"/>
  <c r="T25" i="2" s="1"/>
  <c r="T24" i="2" s="1"/>
  <c r="T23" i="2" s="1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V53" i="2"/>
  <c r="R54" i="2"/>
  <c r="R55" i="2"/>
  <c r="R56" i="2"/>
  <c r="R57" i="2"/>
  <c r="R58" i="2"/>
  <c r="R59" i="2"/>
  <c r="R60" i="2"/>
  <c r="R61" i="2"/>
  <c r="R62" i="2"/>
  <c r="I63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V18" i="2"/>
  <c r="G15" i="2"/>
  <c r="M4" i="2"/>
  <c r="I18" i="2" s="1"/>
  <c r="W21" i="2"/>
  <c r="W20" i="2"/>
  <c r="W19" i="2"/>
  <c r="W18" i="2"/>
  <c r="M12" i="2"/>
  <c r="B13" i="2"/>
  <c r="G8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V22" i="2"/>
  <c r="M20" i="2"/>
  <c r="L21" i="2"/>
  <c r="F21" i="2"/>
  <c r="M14" i="2"/>
  <c r="B48" i="2"/>
  <c r="V48" i="2" s="1"/>
  <c r="B49" i="2"/>
  <c r="J49" i="2" s="1"/>
  <c r="N49" i="2" s="1"/>
  <c r="B50" i="2"/>
  <c r="V50" i="2" s="1"/>
  <c r="N91" i="2" l="1"/>
  <c r="N83" i="2"/>
  <c r="N94" i="2"/>
  <c r="N86" i="2"/>
  <c r="N78" i="2"/>
  <c r="N70" i="2"/>
  <c r="N66" i="2"/>
  <c r="N62" i="2"/>
  <c r="N67" i="2"/>
  <c r="N55" i="2"/>
  <c r="N102" i="2"/>
  <c r="N90" i="2"/>
  <c r="N82" i="2"/>
  <c r="N74" i="2"/>
  <c r="N81" i="2"/>
  <c r="N65" i="2"/>
  <c r="N75" i="2"/>
  <c r="N59" i="2"/>
  <c r="N51" i="2"/>
  <c r="N60" i="2"/>
  <c r="O69" i="2"/>
  <c r="O91" i="2"/>
  <c r="I87" i="2"/>
  <c r="U83" i="2"/>
  <c r="U97" i="2"/>
  <c r="V89" i="2"/>
  <c r="V73" i="2"/>
  <c r="L105" i="2"/>
  <c r="I93" i="2"/>
  <c r="J89" i="2"/>
  <c r="N89" i="2" s="1"/>
  <c r="J73" i="2"/>
  <c r="N73" i="2" s="1"/>
  <c r="V49" i="2"/>
  <c r="I79" i="2"/>
  <c r="U75" i="2"/>
  <c r="I71" i="2"/>
  <c r="U67" i="2"/>
  <c r="L51" i="2"/>
  <c r="J13" i="2"/>
  <c r="L77" i="2"/>
  <c r="J101" i="2"/>
  <c r="N101" i="2" s="1"/>
  <c r="O65" i="2"/>
  <c r="I81" i="2"/>
  <c r="I65" i="2"/>
  <c r="L65" i="2"/>
  <c r="O93" i="2"/>
  <c r="V85" i="2"/>
  <c r="V69" i="2"/>
  <c r="J57" i="2"/>
  <c r="N57" i="2" s="1"/>
  <c r="J48" i="2"/>
  <c r="N48" i="2" s="1"/>
  <c r="C16" i="4"/>
  <c r="C13" i="4"/>
  <c r="L101" i="2"/>
  <c r="U93" i="2"/>
  <c r="V101" i="2"/>
  <c r="L61" i="2"/>
  <c r="O101" i="2"/>
  <c r="O85" i="2"/>
  <c r="O53" i="2"/>
  <c r="I85" i="2"/>
  <c r="J77" i="2"/>
  <c r="N77" i="2" s="1"/>
  <c r="I69" i="2"/>
  <c r="J61" i="2"/>
  <c r="N61" i="2" s="1"/>
  <c r="J53" i="2"/>
  <c r="N53" i="2" s="1"/>
  <c r="I97" i="2"/>
  <c r="V97" i="2"/>
  <c r="L81" i="2"/>
  <c r="J93" i="2"/>
  <c r="N93" i="2" s="1"/>
  <c r="O81" i="2"/>
  <c r="U85" i="2"/>
  <c r="U81" i="2"/>
  <c r="U69" i="2"/>
  <c r="U65" i="2"/>
  <c r="V57" i="2"/>
  <c r="O49" i="2"/>
  <c r="O54" i="2"/>
  <c r="L49" i="2"/>
  <c r="L97" i="2"/>
  <c r="U105" i="2"/>
  <c r="I105" i="2"/>
  <c r="V93" i="2"/>
  <c r="L89" i="2"/>
  <c r="L73" i="2"/>
  <c r="L57" i="2"/>
  <c r="J105" i="2"/>
  <c r="J97" i="2"/>
  <c r="N97" i="2" s="1"/>
  <c r="O77" i="2"/>
  <c r="O61" i="2"/>
  <c r="J85" i="2"/>
  <c r="N85" i="2" s="1"/>
  <c r="V81" i="2"/>
  <c r="U77" i="2"/>
  <c r="I77" i="2"/>
  <c r="J69" i="2"/>
  <c r="N69" i="2" s="1"/>
  <c r="V65" i="2"/>
  <c r="U61" i="2"/>
  <c r="I61" i="2"/>
  <c r="O48" i="2"/>
  <c r="U101" i="2"/>
  <c r="V105" i="2"/>
  <c r="L53" i="2"/>
  <c r="O89" i="2"/>
  <c r="O73" i="2"/>
  <c r="O57" i="2"/>
  <c r="U89" i="2"/>
  <c r="U73" i="2"/>
  <c r="U57" i="2"/>
  <c r="U53" i="2"/>
  <c r="O94" i="2"/>
  <c r="O90" i="2"/>
  <c r="I48" i="2"/>
  <c r="U50" i="2"/>
  <c r="I50" i="2"/>
  <c r="J50" i="2"/>
  <c r="N50" i="2" s="1"/>
  <c r="L50" i="2"/>
  <c r="L48" i="2"/>
  <c r="O50" i="2"/>
  <c r="U48" i="2"/>
  <c r="U103" i="2"/>
  <c r="I95" i="2"/>
  <c r="I91" i="2"/>
  <c r="L83" i="2"/>
  <c r="U102" i="2"/>
  <c r="V99" i="2"/>
  <c r="U90" i="2"/>
  <c r="L82" i="2"/>
  <c r="O99" i="2"/>
  <c r="O75" i="2"/>
  <c r="U87" i="2"/>
  <c r="I83" i="2"/>
  <c r="U79" i="2"/>
  <c r="I75" i="2"/>
  <c r="U71" i="2"/>
  <c r="I67" i="2"/>
  <c r="U63" i="2"/>
  <c r="J58" i="2"/>
  <c r="N58" i="2" s="1"/>
  <c r="I49" i="2"/>
  <c r="U91" i="2"/>
  <c r="L67" i="2"/>
  <c r="O59" i="2"/>
  <c r="U98" i="2"/>
  <c r="L78" i="2"/>
  <c r="O86" i="2"/>
  <c r="O58" i="2"/>
  <c r="I94" i="2"/>
  <c r="V94" i="2"/>
  <c r="L62" i="2"/>
  <c r="O102" i="2"/>
  <c r="J98" i="2"/>
  <c r="N98" i="2" s="1"/>
  <c r="O70" i="2"/>
  <c r="U86" i="2"/>
  <c r="U82" i="2"/>
  <c r="U78" i="2"/>
  <c r="U74" i="2"/>
  <c r="U70" i="2"/>
  <c r="U66" i="2"/>
  <c r="U62" i="2"/>
  <c r="J54" i="2"/>
  <c r="N54" i="2" s="1"/>
  <c r="U49" i="2"/>
  <c r="L102" i="2"/>
  <c r="V98" i="2"/>
  <c r="L66" i="2"/>
  <c r="O74" i="2"/>
  <c r="I90" i="2"/>
  <c r="I86" i="2"/>
  <c r="I82" i="2"/>
  <c r="I78" i="2"/>
  <c r="I74" i="2"/>
  <c r="I70" i="2"/>
  <c r="I66" i="2"/>
  <c r="I62" i="2"/>
  <c r="E19" i="4"/>
  <c r="E10" i="4"/>
  <c r="H13" i="2"/>
  <c r="J14" i="2"/>
  <c r="L95" i="2"/>
  <c r="J17" i="2"/>
  <c r="I99" i="2"/>
  <c r="V103" i="2"/>
  <c r="V91" i="2"/>
  <c r="L87" i="2"/>
  <c r="L71" i="2"/>
  <c r="L55" i="2"/>
  <c r="J103" i="2"/>
  <c r="N103" i="2" s="1"/>
  <c r="J95" i="2"/>
  <c r="N95" i="2" s="1"/>
  <c r="O79" i="2"/>
  <c r="O63" i="2"/>
  <c r="V87" i="2"/>
  <c r="V83" i="2"/>
  <c r="V79" i="2"/>
  <c r="V75" i="2"/>
  <c r="V71" i="2"/>
  <c r="V67" i="2"/>
  <c r="V63" i="2"/>
  <c r="U59" i="2"/>
  <c r="I59" i="2"/>
  <c r="U55" i="2"/>
  <c r="I55" i="2"/>
  <c r="U51" i="2"/>
  <c r="I51" i="2"/>
  <c r="E20" i="4"/>
  <c r="L99" i="2"/>
  <c r="L94" i="2"/>
  <c r="J12" i="2"/>
  <c r="U95" i="2"/>
  <c r="I103" i="2"/>
  <c r="I98" i="2"/>
  <c r="V102" i="2"/>
  <c r="L91" i="2"/>
  <c r="V90" i="2"/>
  <c r="L86" i="2"/>
  <c r="L75" i="2"/>
  <c r="L70" i="2"/>
  <c r="L59" i="2"/>
  <c r="L54" i="2"/>
  <c r="O103" i="2"/>
  <c r="O98" i="2"/>
  <c r="O95" i="2"/>
  <c r="O83" i="2"/>
  <c r="O78" i="2"/>
  <c r="O67" i="2"/>
  <c r="O62" i="2"/>
  <c r="O51" i="2"/>
  <c r="J87" i="2"/>
  <c r="N87" i="2" s="1"/>
  <c r="V86" i="2"/>
  <c r="V82" i="2"/>
  <c r="J79" i="2"/>
  <c r="N79" i="2" s="1"/>
  <c r="V78" i="2"/>
  <c r="V74" i="2"/>
  <c r="J71" i="2"/>
  <c r="N71" i="2" s="1"/>
  <c r="V70" i="2"/>
  <c r="V66" i="2"/>
  <c r="J63" i="2"/>
  <c r="N63" i="2" s="1"/>
  <c r="V62" i="2"/>
  <c r="V59" i="2"/>
  <c r="U58" i="2"/>
  <c r="I58" i="2"/>
  <c r="V55" i="2"/>
  <c r="U54" i="2"/>
  <c r="I54" i="2"/>
  <c r="V51" i="2"/>
  <c r="E13" i="4"/>
  <c r="E11" i="4"/>
  <c r="H12" i="2"/>
  <c r="U99" i="2"/>
  <c r="U94" i="2"/>
  <c r="I102" i="2"/>
  <c r="L90" i="2"/>
  <c r="L74" i="2"/>
  <c r="L58" i="2"/>
  <c r="O82" i="2"/>
  <c r="O66" i="2"/>
  <c r="O55" i="2"/>
  <c r="V56" i="2"/>
  <c r="I56" i="2"/>
  <c r="U56" i="2"/>
  <c r="L56" i="2"/>
  <c r="O56" i="2"/>
  <c r="J56" i="2"/>
  <c r="N56" i="2" s="1"/>
  <c r="V52" i="2"/>
  <c r="I52" i="2"/>
  <c r="U52" i="2"/>
  <c r="L52" i="2"/>
  <c r="O52" i="2"/>
  <c r="J52" i="2"/>
  <c r="N52" i="2" s="1"/>
  <c r="E22" i="4"/>
  <c r="E9" i="4"/>
  <c r="O104" i="2"/>
  <c r="L104" i="2"/>
  <c r="J104" i="2"/>
  <c r="N104" i="2" s="1"/>
  <c r="I104" i="2"/>
  <c r="V104" i="2"/>
  <c r="U104" i="2"/>
  <c r="O100" i="2"/>
  <c r="L100" i="2"/>
  <c r="J100" i="2"/>
  <c r="N100" i="2" s="1"/>
  <c r="I100" i="2"/>
  <c r="V100" i="2"/>
  <c r="U100" i="2"/>
  <c r="O96" i="2"/>
  <c r="L96" i="2"/>
  <c r="J96" i="2"/>
  <c r="N96" i="2" s="1"/>
  <c r="I96" i="2"/>
  <c r="V96" i="2"/>
  <c r="U96" i="2"/>
  <c r="O92" i="2"/>
  <c r="I92" i="2"/>
  <c r="L92" i="2"/>
  <c r="J92" i="2"/>
  <c r="N92" i="2" s="1"/>
  <c r="V92" i="2"/>
  <c r="U92" i="2"/>
  <c r="V88" i="2"/>
  <c r="I88" i="2"/>
  <c r="U88" i="2"/>
  <c r="L88" i="2"/>
  <c r="O88" i="2"/>
  <c r="J88" i="2"/>
  <c r="N88" i="2" s="1"/>
  <c r="V84" i="2"/>
  <c r="I84" i="2"/>
  <c r="U84" i="2"/>
  <c r="L84" i="2"/>
  <c r="O84" i="2"/>
  <c r="J84" i="2"/>
  <c r="N84" i="2" s="1"/>
  <c r="V80" i="2"/>
  <c r="I80" i="2"/>
  <c r="U80" i="2"/>
  <c r="L80" i="2"/>
  <c r="J80" i="2"/>
  <c r="N80" i="2" s="1"/>
  <c r="O80" i="2"/>
  <c r="V76" i="2"/>
  <c r="I76" i="2"/>
  <c r="U76" i="2"/>
  <c r="L76" i="2"/>
  <c r="O76" i="2"/>
  <c r="V72" i="2"/>
  <c r="I72" i="2"/>
  <c r="U72" i="2"/>
  <c r="L72" i="2"/>
  <c r="O72" i="2"/>
  <c r="J72" i="2"/>
  <c r="N72" i="2" s="1"/>
  <c r="V68" i="2"/>
  <c r="I68" i="2"/>
  <c r="U68" i="2"/>
  <c r="L68" i="2"/>
  <c r="O68" i="2"/>
  <c r="J68" i="2"/>
  <c r="N68" i="2" s="1"/>
  <c r="V64" i="2"/>
  <c r="I64" i="2"/>
  <c r="U64" i="2"/>
  <c r="L64" i="2"/>
  <c r="J64" i="2"/>
  <c r="N64" i="2" s="1"/>
  <c r="O64" i="2"/>
  <c r="V60" i="2"/>
  <c r="I60" i="2"/>
  <c r="U60" i="2"/>
  <c r="L60" i="2"/>
  <c r="O60" i="2"/>
  <c r="J76" i="2"/>
  <c r="N76" i="2" s="1"/>
  <c r="V24" i="2"/>
  <c r="B25" i="2"/>
  <c r="J24" i="2" s="1"/>
  <c r="N24" i="2" s="1"/>
  <c r="J23" i="2"/>
  <c r="N23" i="2" s="1"/>
  <c r="S105" i="2" l="1"/>
  <c r="S104" i="2" s="1"/>
  <c r="S103" i="2" s="1"/>
  <c r="S102" i="2" s="1"/>
  <c r="S101" i="2" s="1"/>
  <c r="S100" i="2" s="1"/>
  <c r="S99" i="2" s="1"/>
  <c r="S98" i="2" s="1"/>
  <c r="S97" i="2" s="1"/>
  <c r="S96" i="2" s="1"/>
  <c r="S95" i="2" s="1"/>
  <c r="S94" i="2" s="1"/>
  <c r="S93" i="2" s="1"/>
  <c r="S92" i="2" s="1"/>
  <c r="S91" i="2" s="1"/>
  <c r="S90" i="2" s="1"/>
  <c r="S89" i="2" s="1"/>
  <c r="S88" i="2" s="1"/>
  <c r="S87" i="2" s="1"/>
  <c r="S86" i="2" s="1"/>
  <c r="S85" i="2" s="1"/>
  <c r="S84" i="2" s="1"/>
  <c r="S83" i="2" s="1"/>
  <c r="S82" i="2" s="1"/>
  <c r="S81" i="2" s="1"/>
  <c r="S80" i="2" s="1"/>
  <c r="S79" i="2" s="1"/>
  <c r="S78" i="2" s="1"/>
  <c r="S77" i="2" s="1"/>
  <c r="S76" i="2" s="1"/>
  <c r="S75" i="2" s="1"/>
  <c r="S74" i="2" s="1"/>
  <c r="S73" i="2" s="1"/>
  <c r="S72" i="2" s="1"/>
  <c r="S71" i="2" s="1"/>
  <c r="S70" i="2" s="1"/>
  <c r="S69" i="2" s="1"/>
  <c r="S68" i="2" s="1"/>
  <c r="S67" i="2" s="1"/>
  <c r="S66" i="2" s="1"/>
  <c r="S65" i="2" s="1"/>
  <c r="S64" i="2" s="1"/>
  <c r="S63" i="2" s="1"/>
  <c r="S62" i="2" s="1"/>
  <c r="S61" i="2" s="1"/>
  <c r="S60" i="2" s="1"/>
  <c r="S59" i="2" s="1"/>
  <c r="S58" i="2" s="1"/>
  <c r="S57" i="2" s="1"/>
  <c r="S56" i="2" s="1"/>
  <c r="S55" i="2" s="1"/>
  <c r="S54" i="2" s="1"/>
  <c r="S53" i="2" s="1"/>
  <c r="S52" i="2" s="1"/>
  <c r="S51" i="2" s="1"/>
  <c r="S50" i="2" s="1"/>
  <c r="S49" i="2" s="1"/>
  <c r="S48" i="2" s="1"/>
  <c r="N105" i="2"/>
  <c r="C10" i="4"/>
  <c r="U24" i="2"/>
  <c r="E12" i="4"/>
  <c r="E16" i="4" s="1"/>
  <c r="E14" i="4"/>
  <c r="C12" i="4" s="1"/>
  <c r="E18" i="4"/>
  <c r="F10" i="4"/>
  <c r="F11" i="4" s="1"/>
  <c r="E17" i="4"/>
  <c r="K23" i="2"/>
  <c r="P23" i="2"/>
  <c r="P24" i="2" s="1"/>
  <c r="U23" i="2"/>
  <c r="V25" i="2"/>
  <c r="L24" i="2"/>
  <c r="B26" i="2"/>
  <c r="C9" i="4"/>
  <c r="B16" i="4" l="1"/>
  <c r="B17" i="4" s="1"/>
  <c r="C17" i="4" s="1"/>
  <c r="L25" i="2"/>
  <c r="B27" i="2"/>
  <c r="J26" i="2" s="1"/>
  <c r="N26" i="2" s="1"/>
  <c r="V26" i="2"/>
  <c r="J25" i="2"/>
  <c r="N25" i="2" s="1"/>
  <c r="O23" i="2"/>
  <c r="M23" i="2"/>
  <c r="P25" i="2" l="1"/>
  <c r="P26" i="2" s="1"/>
  <c r="B18" i="4"/>
  <c r="B28" i="2"/>
  <c r="B29" i="2" s="1"/>
  <c r="B30" i="2" s="1"/>
  <c r="L26" i="2"/>
  <c r="U26" i="2"/>
  <c r="U25" i="2"/>
  <c r="V27" i="2"/>
  <c r="Q23" i="2"/>
  <c r="V28" i="2" l="1"/>
  <c r="V29" i="2"/>
  <c r="J27" i="2"/>
  <c r="L28" i="2"/>
  <c r="L27" i="2"/>
  <c r="J28" i="2"/>
  <c r="N28" i="2" s="1"/>
  <c r="J29" i="2"/>
  <c r="N29" i="2" s="1"/>
  <c r="B31" i="2"/>
  <c r="L30" i="2" s="1"/>
  <c r="V30" i="2"/>
  <c r="L29" i="2"/>
  <c r="P27" i="2" l="1"/>
  <c r="P28" i="2" s="1"/>
  <c r="P29" i="2" s="1"/>
  <c r="N27" i="2"/>
  <c r="U27" i="2"/>
  <c r="U29" i="2"/>
  <c r="U28" i="2"/>
  <c r="J30" i="2"/>
  <c r="V31" i="2"/>
  <c r="B32" i="2"/>
  <c r="U30" i="2" l="1"/>
  <c r="N30" i="2"/>
  <c r="P30" i="2"/>
  <c r="B33" i="2"/>
  <c r="B34" i="2" s="1"/>
  <c r="L31" i="2"/>
  <c r="V32" i="2"/>
  <c r="V33" i="2" l="1"/>
  <c r="V34" i="2"/>
  <c r="B35" i="2"/>
  <c r="V35" i="2" l="1"/>
  <c r="B36" i="2"/>
  <c r="J35" i="2" s="1"/>
  <c r="N35" i="2" s="1"/>
  <c r="U35" i="2" l="1"/>
  <c r="L35" i="2"/>
  <c r="V36" i="2"/>
  <c r="B37" i="2"/>
  <c r="B38" i="2"/>
  <c r="V37" i="2" l="1"/>
  <c r="L37" i="2"/>
  <c r="L36" i="2"/>
  <c r="V38" i="2"/>
  <c r="B39" i="2"/>
  <c r="V39" i="2" l="1"/>
  <c r="B40" i="2"/>
  <c r="L38" i="2"/>
  <c r="V40" i="2" l="1"/>
  <c r="B41" i="2"/>
  <c r="L40" i="2" s="1"/>
  <c r="L39" i="2"/>
  <c r="J39" i="2"/>
  <c r="N39" i="2" s="1"/>
  <c r="U39" i="2" l="1"/>
  <c r="V41" i="2"/>
  <c r="L41" i="2"/>
  <c r="J41" i="2"/>
  <c r="N41" i="2" s="1"/>
  <c r="B42" i="2"/>
  <c r="J40" i="2"/>
  <c r="U40" i="2" l="1"/>
  <c r="N40" i="2"/>
  <c r="U41" i="2"/>
  <c r="V42" i="2"/>
  <c r="J42" i="2"/>
  <c r="N42" i="2" s="1"/>
  <c r="B43" i="2"/>
  <c r="U42" i="2" l="1"/>
  <c r="V43" i="2"/>
  <c r="B44" i="2"/>
  <c r="L43" i="2" s="1"/>
  <c r="L42" i="2"/>
  <c r="V44" i="2" l="1"/>
  <c r="B45" i="2"/>
  <c r="J44" i="2" s="1"/>
  <c r="N44" i="2" s="1"/>
  <c r="J43" i="2"/>
  <c r="U43" i="2" l="1"/>
  <c r="N43" i="2"/>
  <c r="U44" i="2"/>
  <c r="V45" i="2"/>
  <c r="B46" i="2"/>
  <c r="L44" i="2"/>
  <c r="V46" i="2" l="1"/>
  <c r="B47" i="2"/>
  <c r="L46" i="2" s="1"/>
  <c r="J45" i="2"/>
  <c r="L45" i="2"/>
  <c r="U45" i="2" l="1"/>
  <c r="N45" i="2"/>
  <c r="L47" i="2"/>
  <c r="V47" i="2"/>
  <c r="M18" i="2"/>
  <c r="W49" i="2" s="1"/>
  <c r="J46" i="2"/>
  <c r="U46" i="2" l="1"/>
  <c r="N46" i="2"/>
  <c r="K59" i="2"/>
  <c r="K67" i="2"/>
  <c r="K75" i="2"/>
  <c r="K83" i="2"/>
  <c r="W24" i="2"/>
  <c r="W55" i="2"/>
  <c r="W63" i="2"/>
  <c r="W71" i="2"/>
  <c r="W79" i="2"/>
  <c r="W87" i="2"/>
  <c r="K103" i="2"/>
  <c r="W92" i="2"/>
  <c r="K53" i="2"/>
  <c r="K61" i="2"/>
  <c r="K69" i="2"/>
  <c r="K77" i="2"/>
  <c r="K85" i="2"/>
  <c r="W57" i="2"/>
  <c r="W65" i="2"/>
  <c r="W73" i="2"/>
  <c r="W81" i="2"/>
  <c r="W89" i="2"/>
  <c r="W97" i="2"/>
  <c r="W100" i="2"/>
  <c r="W23" i="2"/>
  <c r="I24" i="2" s="1"/>
  <c r="K24" i="2" s="1"/>
  <c r="K55" i="2"/>
  <c r="K63" i="2"/>
  <c r="K71" i="2"/>
  <c r="K79" i="2"/>
  <c r="K87" i="2"/>
  <c r="W59" i="2"/>
  <c r="W67" i="2"/>
  <c r="W75" i="2"/>
  <c r="W83" i="2"/>
  <c r="W91" i="2"/>
  <c r="W105" i="2"/>
  <c r="W56" i="2"/>
  <c r="K57" i="2"/>
  <c r="K89" i="2"/>
  <c r="W77" i="2"/>
  <c r="W25" i="2"/>
  <c r="K91" i="2"/>
  <c r="K105" i="2"/>
  <c r="K104" i="2"/>
  <c r="K99" i="2"/>
  <c r="W52" i="2"/>
  <c r="K50" i="2"/>
  <c r="K73" i="2"/>
  <c r="W61" i="2"/>
  <c r="K95" i="2"/>
  <c r="M8" i="2"/>
  <c r="K97" i="2"/>
  <c r="W99" i="2"/>
  <c r="K96" i="2"/>
  <c r="W101" i="2"/>
  <c r="W96" i="2"/>
  <c r="W51" i="2"/>
  <c r="K52" i="2"/>
  <c r="K81" i="2"/>
  <c r="W69" i="2"/>
  <c r="K94" i="2"/>
  <c r="W68" i="2"/>
  <c r="W76" i="2"/>
  <c r="W84" i="2"/>
  <c r="W26" i="2"/>
  <c r="W80" i="2"/>
  <c r="K60" i="2"/>
  <c r="K76" i="2"/>
  <c r="K93" i="2"/>
  <c r="K92" i="2"/>
  <c r="K102" i="2"/>
  <c r="K65" i="2"/>
  <c r="W88" i="2"/>
  <c r="K64" i="2"/>
  <c r="K101" i="2"/>
  <c r="K100" i="2"/>
  <c r="W104" i="2"/>
  <c r="W72" i="2"/>
  <c r="K72" i="2"/>
  <c r="K88" i="2"/>
  <c r="W102" i="2"/>
  <c r="K51" i="2"/>
  <c r="W60" i="2"/>
  <c r="K80" i="2"/>
  <c r="W90" i="2"/>
  <c r="W50" i="2"/>
  <c r="W53" i="2"/>
  <c r="W64" i="2"/>
  <c r="K68" i="2"/>
  <c r="K84" i="2"/>
  <c r="W95" i="2"/>
  <c r="W94" i="2"/>
  <c r="W93" i="2"/>
  <c r="W85" i="2"/>
  <c r="K56" i="2"/>
  <c r="W103" i="2"/>
  <c r="W98" i="2"/>
  <c r="K62" i="2"/>
  <c r="W66" i="2"/>
  <c r="K74" i="2"/>
  <c r="W78" i="2"/>
  <c r="K70" i="2"/>
  <c r="K86" i="2"/>
  <c r="K54" i="2"/>
  <c r="W58" i="2"/>
  <c r="K98" i="2"/>
  <c r="K66" i="2"/>
  <c r="W70" i="2"/>
  <c r="K90" i="2"/>
  <c r="K58" i="2"/>
  <c r="W62" i="2"/>
  <c r="W54" i="2"/>
  <c r="W74" i="2"/>
  <c r="K82" i="2"/>
  <c r="K78" i="2"/>
  <c r="W82" i="2"/>
  <c r="W86" i="2"/>
  <c r="W27" i="2"/>
  <c r="W28" i="2"/>
  <c r="W30" i="2"/>
  <c r="W29" i="2"/>
  <c r="W35" i="2"/>
  <c r="W39" i="2"/>
  <c r="W40" i="2"/>
  <c r="W41" i="2"/>
  <c r="W42" i="2"/>
  <c r="W43" i="2"/>
  <c r="W44" i="2"/>
  <c r="W45" i="2"/>
  <c r="W46" i="2"/>
  <c r="W48" i="2"/>
  <c r="K48" i="2"/>
  <c r="M9" i="2" l="1"/>
  <c r="M19" i="2" s="1"/>
  <c r="N7" i="2"/>
  <c r="M7" i="2" s="1"/>
  <c r="I25" i="2"/>
  <c r="O24" i="2"/>
  <c r="M24" i="2"/>
  <c r="M1" i="2"/>
  <c r="J34" i="2" l="1"/>
  <c r="J31" i="2"/>
  <c r="U34" i="2"/>
  <c r="W34" i="2" s="1"/>
  <c r="N34" i="2"/>
  <c r="J38" i="2"/>
  <c r="J36" i="2"/>
  <c r="J33" i="2"/>
  <c r="J37" i="2"/>
  <c r="J47" i="2"/>
  <c r="N47" i="2" s="1"/>
  <c r="J32" i="2"/>
  <c r="N32" i="2" s="1"/>
  <c r="U47" i="2"/>
  <c r="W47" i="2" s="1"/>
  <c r="Q24" i="2"/>
  <c r="K25" i="2"/>
  <c r="I26" i="2" s="1"/>
  <c r="N31" i="2" l="1"/>
  <c r="U31" i="2"/>
  <c r="W31" i="2" s="1"/>
  <c r="P31" i="2"/>
  <c r="P32" i="2" s="1"/>
  <c r="P33" i="2" s="1"/>
  <c r="P34" i="2" s="1"/>
  <c r="P35" i="2" s="1"/>
  <c r="P36" i="2" s="1"/>
  <c r="P37" i="2" s="1"/>
  <c r="P38" i="2" s="1"/>
  <c r="P39" i="2" s="1"/>
  <c r="P40" i="2" s="1"/>
  <c r="P41" i="2" s="1"/>
  <c r="P42" i="2" s="1"/>
  <c r="P43" i="2" s="1"/>
  <c r="P44" i="2" s="1"/>
  <c r="P45" i="2" s="1"/>
  <c r="P46" i="2" s="1"/>
  <c r="P47" i="2" s="1"/>
  <c r="P48" i="2" s="1"/>
  <c r="U36" i="2"/>
  <c r="W36" i="2" s="1"/>
  <c r="N36" i="2"/>
  <c r="U38" i="2"/>
  <c r="W38" i="2" s="1"/>
  <c r="N38" i="2"/>
  <c r="U37" i="2"/>
  <c r="W37" i="2" s="1"/>
  <c r="N37" i="2"/>
  <c r="U33" i="2"/>
  <c r="W33" i="2" s="1"/>
  <c r="N33" i="2"/>
  <c r="H9" i="2"/>
  <c r="I11" i="2"/>
  <c r="J11" i="2" s="1"/>
  <c r="U32" i="2"/>
  <c r="W32" i="2" s="1"/>
  <c r="O25" i="2"/>
  <c r="M25" i="2"/>
  <c r="K26" i="2"/>
  <c r="O26" i="2" s="1"/>
  <c r="N21" i="2" l="1"/>
  <c r="B17" i="2" s="1"/>
  <c r="P49" i="2"/>
  <c r="Q48" i="2"/>
  <c r="M26" i="2"/>
  <c r="Q26" i="2"/>
  <c r="I27" i="2"/>
  <c r="Q25" i="2"/>
  <c r="B10" i="2" l="1"/>
  <c r="B15" i="2"/>
  <c r="K21" i="2"/>
  <c r="B12" i="2"/>
  <c r="B11" i="2"/>
  <c r="Q49" i="2"/>
  <c r="P50" i="2"/>
  <c r="K27" i="2"/>
  <c r="Q50" i="2" l="1"/>
  <c r="P51" i="2"/>
  <c r="O27" i="2"/>
  <c r="M27" i="2"/>
  <c r="I28" i="2"/>
  <c r="Q51" i="2" l="1"/>
  <c r="P52" i="2"/>
  <c r="K28" i="2"/>
  <c r="M28" i="2" s="1"/>
  <c r="Q27" i="2"/>
  <c r="P53" i="2" l="1"/>
  <c r="Q52" i="2"/>
  <c r="O28" i="2"/>
  <c r="I29" i="2"/>
  <c r="Q53" i="2" l="1"/>
  <c r="P54" i="2"/>
  <c r="K29" i="2"/>
  <c r="I30" i="2" s="1"/>
  <c r="Q28" i="2"/>
  <c r="Q54" i="2" l="1"/>
  <c r="P55" i="2"/>
  <c r="O29" i="2"/>
  <c r="M29" i="2"/>
  <c r="K30" i="2"/>
  <c r="O30" i="2" s="1"/>
  <c r="Q55" i="2" l="1"/>
  <c r="P56" i="2"/>
  <c r="Q30" i="2"/>
  <c r="M30" i="2"/>
  <c r="I31" i="2"/>
  <c r="Q29" i="2"/>
  <c r="Q56" i="2" l="1"/>
  <c r="P57" i="2"/>
  <c r="K31" i="2"/>
  <c r="O31" i="2" s="1"/>
  <c r="Q57" i="2" l="1"/>
  <c r="P58" i="2"/>
  <c r="M31" i="2"/>
  <c r="I32" i="2"/>
  <c r="K32" i="2" s="1"/>
  <c r="Q31" i="2"/>
  <c r="P59" i="2" l="1"/>
  <c r="Q58" i="2"/>
  <c r="M32" i="2"/>
  <c r="L32" i="2" s="1"/>
  <c r="O32" i="2" s="1"/>
  <c r="Q32" i="2" s="1"/>
  <c r="I33" i="2" l="1"/>
  <c r="Q59" i="2"/>
  <c r="P60" i="2"/>
  <c r="P61" i="2" l="1"/>
  <c r="Q60" i="2"/>
  <c r="I34" i="2" l="1"/>
  <c r="Q61" i="2"/>
  <c r="P62" i="2"/>
  <c r="Q62" i="2" l="1"/>
  <c r="P63" i="2"/>
  <c r="Q63" i="2" l="1"/>
  <c r="P64" i="2"/>
  <c r="P65" i="2" l="1"/>
  <c r="Q64" i="2"/>
  <c r="Q65" i="2" l="1"/>
  <c r="P66" i="2"/>
  <c r="Q66" i="2" l="1"/>
  <c r="P67" i="2"/>
  <c r="P68" i="2" l="1"/>
  <c r="Q67" i="2"/>
  <c r="P69" i="2" l="1"/>
  <c r="Q68" i="2"/>
  <c r="Q69" i="2" l="1"/>
  <c r="P70" i="2"/>
  <c r="I39" i="2"/>
  <c r="P71" i="2" l="1"/>
  <c r="Q70" i="2"/>
  <c r="P72" i="2" l="1"/>
  <c r="Q71" i="2"/>
  <c r="I40" i="2"/>
  <c r="P73" i="2" l="1"/>
  <c r="Q72" i="2"/>
  <c r="Q73" i="2" l="1"/>
  <c r="P74" i="2"/>
  <c r="I41" i="2"/>
  <c r="Q74" i="2" l="1"/>
  <c r="P75" i="2"/>
  <c r="K41" i="2"/>
  <c r="O41" i="2" s="1"/>
  <c r="P76" i="2" l="1"/>
  <c r="Q75" i="2"/>
  <c r="Q41" i="2"/>
  <c r="I42" i="2"/>
  <c r="P77" i="2" l="1"/>
  <c r="Q76" i="2"/>
  <c r="K42" i="2"/>
  <c r="I43" i="2" s="1"/>
  <c r="Q77" i="2" l="1"/>
  <c r="P78" i="2"/>
  <c r="K43" i="2"/>
  <c r="O43" i="2" s="1"/>
  <c r="O42" i="2"/>
  <c r="Q78" i="2" l="1"/>
  <c r="P79" i="2"/>
  <c r="Q43" i="2"/>
  <c r="I44" i="2"/>
  <c r="Q42" i="2"/>
  <c r="P80" i="2" l="1"/>
  <c r="Q79" i="2"/>
  <c r="K44" i="2"/>
  <c r="O44" i="2" s="1"/>
  <c r="Q80" i="2" l="1"/>
  <c r="P81" i="2"/>
  <c r="Q44" i="2"/>
  <c r="I45" i="2"/>
  <c r="Q81" i="2" l="1"/>
  <c r="P82" i="2"/>
  <c r="K45" i="2"/>
  <c r="O45" i="2" s="1"/>
  <c r="P83" i="2" l="1"/>
  <c r="Q82" i="2"/>
  <c r="Q45" i="2"/>
  <c r="I46" i="2"/>
  <c r="Q83" i="2" l="1"/>
  <c r="P84" i="2"/>
  <c r="K46" i="2"/>
  <c r="O46" i="2" s="1"/>
  <c r="P85" i="2" l="1"/>
  <c r="Q84" i="2"/>
  <c r="Q46" i="2"/>
  <c r="I47" i="2"/>
  <c r="Q85" i="2" l="1"/>
  <c r="P86" i="2"/>
  <c r="K47" i="2"/>
  <c r="Q86" i="2" l="1"/>
  <c r="P87" i="2"/>
  <c r="O47" i="2"/>
  <c r="K34" i="2" l="1"/>
  <c r="Q87" i="2"/>
  <c r="P88" i="2"/>
  <c r="Q47" i="2"/>
  <c r="S47" i="2"/>
  <c r="S46" i="2" s="1"/>
  <c r="S45" i="2" s="1"/>
  <c r="S44" i="2" s="1"/>
  <c r="S43" i="2" s="1"/>
  <c r="S42" i="2" s="1"/>
  <c r="S41" i="2" s="1"/>
  <c r="K49" i="2"/>
  <c r="I35" i="2" l="1"/>
  <c r="Q88" i="2"/>
  <c r="P89" i="2"/>
  <c r="P90" i="2" l="1"/>
  <c r="Q89" i="2"/>
  <c r="O35" i="2" l="1"/>
  <c r="Q35" i="2" s="1"/>
  <c r="I36" i="2"/>
  <c r="Q90" i="2"/>
  <c r="P91" i="2"/>
  <c r="Q91" i="2" l="1"/>
  <c r="P92" i="2"/>
  <c r="I37" i="2" l="1"/>
  <c r="I38" i="2" s="1"/>
  <c r="O36" i="2"/>
  <c r="Q36" i="2" s="1"/>
  <c r="P93" i="2"/>
  <c r="Q92" i="2"/>
  <c r="K37" i="2" l="1"/>
  <c r="Q93" i="2"/>
  <c r="P94" i="2"/>
  <c r="O37" i="2" l="1"/>
  <c r="Q37" i="2" s="1"/>
  <c r="S20" i="2"/>
  <c r="K33" i="2" s="1"/>
  <c r="M33" i="2" s="1"/>
  <c r="Q94" i="2"/>
  <c r="P95" i="2"/>
  <c r="L33" i="2" l="1"/>
  <c r="O33" i="2" s="1"/>
  <c r="Q33" i="2" s="1"/>
  <c r="M34" i="2"/>
  <c r="L34" i="2" s="1"/>
  <c r="O34" i="2" s="1"/>
  <c r="Q34" i="2" s="1"/>
  <c r="K35" i="2"/>
  <c r="E15" i="2"/>
  <c r="K36" i="2"/>
  <c r="K40" i="2"/>
  <c r="O40" i="2" s="1"/>
  <c r="Q40" i="2" s="1"/>
  <c r="K38" i="2"/>
  <c r="O38" i="2" s="1"/>
  <c r="Q38" i="2" s="1"/>
  <c r="K39" i="2"/>
  <c r="O39" i="2" s="1"/>
  <c r="Q95" i="2"/>
  <c r="P96" i="2"/>
  <c r="M35" i="2" l="1"/>
  <c r="M36" i="2"/>
  <c r="M37" i="2" s="1"/>
  <c r="M38" i="2" s="1"/>
  <c r="M39" i="2" s="1"/>
  <c r="M40" i="2" s="1"/>
  <c r="M41" i="2" s="1"/>
  <c r="M42" i="2" s="1"/>
  <c r="M43" i="2" s="1"/>
  <c r="M44" i="2" s="1"/>
  <c r="M45" i="2" s="1"/>
  <c r="M46" i="2" s="1"/>
  <c r="M47" i="2" s="1"/>
  <c r="M48" i="2" s="1"/>
  <c r="M49" i="2" s="1"/>
  <c r="M50" i="2" s="1"/>
  <c r="M51" i="2" s="1"/>
  <c r="M52" i="2" s="1"/>
  <c r="M53" i="2" s="1"/>
  <c r="M54" i="2" s="1"/>
  <c r="M55" i="2" s="1"/>
  <c r="M56" i="2" s="1"/>
  <c r="M57" i="2" s="1"/>
  <c r="M58" i="2" s="1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M69" i="2" s="1"/>
  <c r="M70" i="2" s="1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M90" i="2" s="1"/>
  <c r="M91" i="2" s="1"/>
  <c r="M92" i="2" s="1"/>
  <c r="M93" i="2" s="1"/>
  <c r="M94" i="2" s="1"/>
  <c r="M95" i="2" s="1"/>
  <c r="M96" i="2" s="1"/>
  <c r="M97" i="2" s="1"/>
  <c r="M98" i="2" s="1"/>
  <c r="M99" i="2" s="1"/>
  <c r="M100" i="2" s="1"/>
  <c r="M101" i="2" s="1"/>
  <c r="M102" i="2" s="1"/>
  <c r="M103" i="2" s="1"/>
  <c r="M104" i="2" s="1"/>
  <c r="M105" i="2" s="1"/>
  <c r="S40" i="2"/>
  <c r="S39" i="2" s="1"/>
  <c r="S38" i="2" s="1"/>
  <c r="S37" i="2" s="1"/>
  <c r="S36" i="2" s="1"/>
  <c r="S35" i="2" s="1"/>
  <c r="S34" i="2" s="1"/>
  <c r="S33" i="2" s="1"/>
  <c r="S32" i="2" s="1"/>
  <c r="S31" i="2" s="1"/>
  <c r="S30" i="2" s="1"/>
  <c r="S29" i="2" s="1"/>
  <c r="S28" i="2" s="1"/>
  <c r="S27" i="2" s="1"/>
  <c r="S26" i="2" s="1"/>
  <c r="S25" i="2" s="1"/>
  <c r="S24" i="2" s="1"/>
  <c r="S23" i="2" s="1"/>
  <c r="E17" i="2"/>
  <c r="C62" i="2" s="1"/>
  <c r="Q39" i="2"/>
  <c r="P97" i="2"/>
  <c r="Q96" i="2"/>
  <c r="C75" i="2" l="1"/>
  <c r="C30" i="2"/>
  <c r="C85" i="2"/>
  <c r="C69" i="2"/>
  <c r="C105" i="2"/>
  <c r="C87" i="2"/>
  <c r="C34" i="2"/>
  <c r="C58" i="2"/>
  <c r="C45" i="2"/>
  <c r="C78" i="2"/>
  <c r="C43" i="2"/>
  <c r="C73" i="2"/>
  <c r="C94" i="2"/>
  <c r="C37" i="2"/>
  <c r="C90" i="2"/>
  <c r="C92" i="2"/>
  <c r="C59" i="2"/>
  <c r="C51" i="2"/>
  <c r="C28" i="2"/>
  <c r="C39" i="2"/>
  <c r="C48" i="2"/>
  <c r="C74" i="2"/>
  <c r="C52" i="2"/>
  <c r="C100" i="2"/>
  <c r="C86" i="2"/>
  <c r="C66" i="2"/>
  <c r="C83" i="2"/>
  <c r="C96" i="2"/>
  <c r="C27" i="2"/>
  <c r="C103" i="2"/>
  <c r="C68" i="2"/>
  <c r="C46" i="2"/>
  <c r="C64" i="2"/>
  <c r="C50" i="2"/>
  <c r="C84" i="2"/>
  <c r="C47" i="2"/>
  <c r="C41" i="2"/>
  <c r="C25" i="2"/>
  <c r="C104" i="2"/>
  <c r="C44" i="2"/>
  <c r="C53" i="2"/>
  <c r="E16" i="2"/>
  <c r="G22" i="2"/>
  <c r="C95" i="2"/>
  <c r="C35" i="2"/>
  <c r="C38" i="2"/>
  <c r="C88" i="2"/>
  <c r="C57" i="2"/>
  <c r="C71" i="2"/>
  <c r="C56" i="2"/>
  <c r="C67" i="2"/>
  <c r="C29" i="2"/>
  <c r="C102" i="2"/>
  <c r="C97" i="2"/>
  <c r="C36" i="2"/>
  <c r="C72" i="2"/>
  <c r="C98" i="2"/>
  <c r="C70" i="2"/>
  <c r="C99" i="2"/>
  <c r="C77" i="2"/>
  <c r="C40" i="2"/>
  <c r="C31" i="2"/>
  <c r="C42" i="2"/>
  <c r="C26" i="2"/>
  <c r="C80" i="2"/>
  <c r="C82" i="2"/>
  <c r="C79" i="2"/>
  <c r="C32" i="2"/>
  <c r="C55" i="2"/>
  <c r="C91" i="2"/>
  <c r="C33" i="2"/>
  <c r="C49" i="2"/>
  <c r="C60" i="2"/>
  <c r="C61" i="2"/>
  <c r="C54" i="2"/>
  <c r="C65" i="2"/>
  <c r="C93" i="2"/>
  <c r="C89" i="2"/>
  <c r="C76" i="2"/>
  <c r="C101" i="2"/>
  <c r="C63" i="2"/>
  <c r="C81" i="2"/>
  <c r="Q97" i="2"/>
  <c r="P98" i="2"/>
  <c r="Q98" i="2" l="1"/>
  <c r="P99" i="2"/>
  <c r="Q99" i="2" l="1"/>
  <c r="P100" i="2"/>
  <c r="P101" i="2" l="1"/>
  <c r="Q100" i="2"/>
  <c r="P102" i="2" l="1"/>
  <c r="Q101" i="2"/>
  <c r="Q102" i="2" l="1"/>
  <c r="P103" i="2"/>
  <c r="Q103" i="2" l="1"/>
  <c r="P104" i="2"/>
  <c r="P105" i="2" l="1"/>
  <c r="Q105" i="2" s="1"/>
  <c r="I17" i="2" s="1"/>
  <c r="Q104" i="2"/>
  <c r="E18" i="2" l="1"/>
  <c r="G10" i="2"/>
  <c r="B19" i="2"/>
  <c r="B14" i="2" l="1"/>
  <c r="M2" i="2"/>
  <c r="B18" i="2"/>
  <c r="D21" i="2"/>
  <c r="B9" i="2"/>
</calcChain>
</file>

<file path=xl/comments1.xml><?xml version="1.0" encoding="utf-8"?>
<comments xmlns="http://schemas.openxmlformats.org/spreadsheetml/2006/main">
  <authors>
    <author>Ein geschätzter Microsoft Office Anwender</author>
    <author>out2000</author>
    <author>s205852</author>
  </authors>
  <commentList>
    <comment ref="Y1" authorId="0" shapeId="0">
      <text>
        <r>
          <rPr>
            <sz val="8"/>
            <color indexed="81"/>
            <rFont val="Tahoma"/>
            <family val="2"/>
          </rPr>
          <t xml:space="preserve">
Das Programm wurde entwickelt von 
Walter Fricke, Derendorf   (WF)</t>
        </r>
      </text>
    </comment>
    <comment ref="A9" authorId="0" shapeId="0">
      <text>
        <r>
          <rPr>
            <sz val="8"/>
            <color indexed="81"/>
            <rFont val="Tahoma"/>
            <family val="2"/>
          </rPr>
          <t>Überschrift:
individuelle Überschrift
1 = Bauzwischenfinanzierung
alle anderen Zahlen = Zinsstaffel
bzw. Interner Zinsfuß, wenn er berechnet wird.</t>
        </r>
      </text>
    </comment>
    <comment ref="G9" authorId="0" shapeId="0">
      <text>
        <r>
          <rPr>
            <sz val="8"/>
            <color indexed="81"/>
            <rFont val="Tahoma"/>
            <family val="2"/>
          </rPr>
          <t>Eingabe des Datums zu dem die Abrechnung
erfolgen soll.
Bei gelöschter Zelle (Entf - nicht 0) wird der
letzte Termin aus der Zinsstaffel genommen.</t>
        </r>
      </text>
    </comment>
    <comment ref="A10" authorId="0" shapeId="0">
      <text>
        <r>
          <rPr>
            <sz val="8"/>
            <color indexed="81"/>
            <rFont val="Tahoma"/>
            <family val="2"/>
          </rPr>
          <t xml:space="preserve">1 = mit Zinseszins zu Termin z (Spalte F)
2 = mit Zinseszins zu jedem Termin                
0 = ohne Zinseszins 
      </t>
        </r>
      </text>
    </comment>
    <comment ref="A11" authorId="0" shapeId="0">
      <text>
        <r>
          <rPr>
            <sz val="8"/>
            <color indexed="81"/>
            <rFont val="Tahoma"/>
            <family val="2"/>
          </rPr>
          <t>1 = deutsche Methode 360/360 Tage mit zusätzlich 1 in A13: US-amerikanisch 360/360 Tage - Februar: genau
2 = Euromethode 365+366/360 (und alles außer 1; 3)
3 = englische Methode 365+366/365</t>
        </r>
      </text>
    </comment>
    <comment ref="A12" authorId="1" shapeId="0">
      <text>
        <r>
          <rPr>
            <sz val="8"/>
            <color indexed="81"/>
            <rFont val="Tahoma"/>
            <family val="2"/>
          </rPr>
          <t xml:space="preserve">1 = vorschüssige Zinszahlung
Ersatzzinsfuß= 100*Zins/(100-Zins)
ansonsten: nachschüssig
</t>
        </r>
      </text>
    </comment>
    <comment ref="I12" authorId="0" shapeId="0">
      <text>
        <r>
          <rPr>
            <sz val="8"/>
            <color indexed="81"/>
            <rFont val="Tahoma"/>
            <family val="2"/>
          </rPr>
          <t>Verrechnungen p.a. zur Barwertermittlung
-1 = automatische / variable Verrechnung entsprechend
       den Tagen in Spalte J  (XKAPITALWERT)
4 = vierteljährlich etc.</t>
        </r>
      </text>
    </comment>
    <comment ref="A13" authorId="0" shapeId="0">
      <text>
        <r>
          <rPr>
            <sz val="8"/>
            <color indexed="81"/>
            <rFont val="Tahoma"/>
            <family val="2"/>
          </rPr>
          <t>Bei Eingabe von 1 und 1 in A11 findet die US-amerikanische Zinsmethode Anwendung: 360/360 (Februar: genau)
Bei 365 Zinstagen (EURO, englisch) wird bei
Eingabe von 1 der Schalttag 29.02. nicht
berücksichtigt. (Microsoft für internen Zinsfuß IKV bei
ganzen Jahre)
Das Schaltjahr hat dann also auch 365 Tage.
alles andere = volles Schaltjahr (366 Tage)</t>
        </r>
      </text>
    </comment>
    <comment ref="I13" authorId="0" shapeId="0">
      <text>
        <r>
          <rPr>
            <sz val="8"/>
            <color indexed="81"/>
            <rFont val="Tahoma"/>
            <family val="2"/>
          </rPr>
          <t xml:space="preserve">Zur Ermittlung des internen Zinsfußes
(Barwert der Zu- und Abflüsse = 0):
Zelle A14 = 2
(IKV: Zinsen (Spalte H) = 0; Jahresschritte)
Zielwertsuche mit 
i17 als Zielzelle (Zielwert: 0) und
i13 als veränderbarer Zelle
Deckt folgende Microsoft-Funktionen ab:
IKV; NBW; XINTZINSFUSS
</t>
        </r>
      </text>
    </comment>
    <comment ref="A14" authorId="0" shapeId="0">
      <text>
        <r>
          <rPr>
            <sz val="8"/>
            <color indexed="81"/>
            <rFont val="Tahoma"/>
            <family val="2"/>
          </rPr>
          <t>Bei Eingabe von 1 wird in Zelle i16 der Barwert
der Gesamtsumme abgezinst als Einmalbetrag
über die Gesamtlaufzeit ausgegeben.
Bei Eingabe von 2 wird der Barwert als Summe
der Einzelbarwerte der Liquiditätszu- und abflüsse ausgegeben.   (3 = nur Zinsen)
0 = ohne Barwerterrechnung
W a l t e r   F R I C K E,   D e r e n d o r f   (W F)</t>
        </r>
      </text>
    </comment>
    <comment ref="I14" authorId="0" shapeId="0">
      <text>
        <r>
          <rPr>
            <sz val="8"/>
            <color indexed="81"/>
            <rFont val="Tahoma"/>
            <family val="2"/>
          </rPr>
          <t>1 = vorschüssig
0 und sonst = nachschüssig</t>
        </r>
      </text>
    </comment>
    <comment ref="F21" authorId="0" shapeId="0">
      <text>
        <r>
          <rPr>
            <sz val="8"/>
            <color indexed="81"/>
            <rFont val="Tahoma"/>
            <family val="2"/>
          </rPr>
          <t xml:space="preserve">Z  als Spaltenkopf taucht nur auf, wenn in Zelle A10: 1 (Zinskapitalisierung zu bestimmten Terminen) gewählt wurde.
In Spalte F ist neben dem Datum (Spalte G), zu dem eine Verzinsung gewünscht wird, der Buchstabe  z  einzugeben.
Die Zinsen zu diesem Termin werden in Spalte L
als Zwischensumme ausgegeben und dem Kapital 
zugeschlagen.
</t>
        </r>
      </text>
    </comment>
    <comment ref="V21" authorId="2" shapeId="0">
      <text>
        <r>
          <rPr>
            <sz val="8"/>
            <color indexed="81"/>
            <rFont val="Tahoma"/>
            <family val="2"/>
          </rPr>
          <t>Zinssatz Bereitstellungsprovision ohne 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22" authorId="0" shapeId="0">
      <text>
        <r>
          <rPr>
            <sz val="8"/>
            <color indexed="81"/>
            <rFont val="Tahoma"/>
            <family val="2"/>
          </rPr>
          <t xml:space="preserve">1 : Die erste Zinsperiode wird um 1 Tag verlängert.
2 : Die letzte Zinsperiode wird um 1 Tag verlängert.
0 : jeweils ohne
</t>
        </r>
      </text>
    </comment>
    <comment ref="K22" authorId="0" shapeId="0">
      <text>
        <r>
          <rPr>
            <sz val="8"/>
            <color indexed="81"/>
            <rFont val="Tahoma"/>
            <family val="2"/>
          </rPr>
          <t>Rundungsstellen für Zinsen (Normalfall = 2)
Bei Zielwertsuche: 9 eingeben</t>
        </r>
      </text>
    </comment>
    <comment ref="W22" authorId="2" shapeId="0">
      <text>
        <r>
          <rPr>
            <sz val="8"/>
            <color indexed="81"/>
            <rFont val="Tahoma"/>
            <family val="2"/>
          </rPr>
          <t>Bereitstellungszins ab welchem Datum ?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23" authorId="0" shapeId="0">
      <text>
        <r>
          <rPr>
            <sz val="8"/>
            <color indexed="81"/>
            <rFont val="Tahoma"/>
            <family val="2"/>
          </rPr>
          <t>Ein hier eingegebener Zinssatz (auch 0,00)  
gilt solange, bis in einer Zelle darunter ein anderer eingegeben wird.
Zinssatz löschen mit Entf.</t>
        </r>
      </text>
    </comment>
  </commentList>
</comments>
</file>

<file path=xl/comments2.xml><?xml version="1.0" encoding="utf-8"?>
<comments xmlns="http://schemas.openxmlformats.org/spreadsheetml/2006/main">
  <authors>
    <author>Ein geschätzter Microsoft Office Anwender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0 = Kapitalanlage
1 = Barwertberechnung der Einzahlungen
      bzw. eines Einmalbetrages
2 = wie 1 aber vorschüssig
</t>
        </r>
      </text>
    </comment>
    <comment ref="X1" authorId="0" shapeId="0">
      <text>
        <r>
          <rPr>
            <sz val="8"/>
            <color indexed="81"/>
            <rFont val="Tahoma"/>
            <family val="2"/>
          </rPr>
          <t xml:space="preserve">
Das Programm wurde entwickelt von 
Walter Fricke, Derendorf   (WF)</t>
        </r>
      </text>
    </comment>
    <comment ref="A2" authorId="0" shapeId="0">
      <text>
        <r>
          <rPr>
            <sz val="8"/>
            <color indexed="81"/>
            <rFont val="Tahoma"/>
            <family val="2"/>
          </rPr>
          <t>1 = Anlage / Barwert Einmalbetrag
0 = Anlage zu jedem Zinstermin /
     Barwert konstanter Zahlungen</t>
        </r>
      </text>
    </comment>
    <comment ref="E7" authorId="0" shapeId="0">
      <text>
        <r>
          <rPr>
            <sz val="8"/>
            <color indexed="81"/>
            <rFont val="Tahoma"/>
            <family val="2"/>
          </rPr>
          <t xml:space="preserve">Eingabe der Verzinsungen/Abzinsungen p.a.
Bei Eingabe von 0 erfolgt eine Verzinsung
ohne Zinseszins
bzw. eine Abzinsung entsprechend der
Laufzeiteingabe in A9.
</t>
        </r>
      </text>
    </comment>
    <comment ref="A9" authorId="0" shapeId="0">
      <text>
        <r>
          <rPr>
            <sz val="8"/>
            <color indexed="81"/>
            <rFont val="Tahoma"/>
            <family val="2"/>
          </rPr>
          <t xml:space="preserve">360 = Laufzeiteingabe (B9) in Tagen
  12 = Monate
    4 = Quartale
    2 = Halbjahre
    1 = Jahre (Normalfall)
</t>
        </r>
      </text>
    </comment>
    <comment ref="A10" authorId="0" shapeId="0">
      <text>
        <r>
          <rPr>
            <sz val="8"/>
            <color indexed="81"/>
            <rFont val="Tahoma"/>
            <family val="2"/>
          </rPr>
          <t>andere (spätere) Verzinsung als Zahlung
nicht bei Progression
1 = jährliche Verzinsung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 xml:space="preserve">Eingabe der Verzinsungen/Abzinsungen p.a.
e = stetige Verzinsung (nur bei Einmalbetrag)
Bei Eingabe von 0 erfolgt eine Verzinsung
ohne Zinseszins
bzw. eine Abzinsung entsprechend der
Laufzeiteingabe in A9.
</t>
        </r>
      </text>
    </comment>
    <comment ref="A12" authorId="0" shapeId="0">
      <text>
        <r>
          <rPr>
            <sz val="8"/>
            <color indexed="81"/>
            <rFont val="Tahoma"/>
            <family val="2"/>
          </rPr>
          <t xml:space="preserve">0 = nachschüssig (Normalfall)
1 = vorschüssig 
Barwert vorschüssig = 2 in Zelle A1
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prozentuale Erhöhung der Zahlungen</t>
        </r>
      </text>
    </comment>
  </commentList>
</comments>
</file>

<file path=xl/sharedStrings.xml><?xml version="1.0" encoding="utf-8"?>
<sst xmlns="http://schemas.openxmlformats.org/spreadsheetml/2006/main" count="148" uniqueCount="113">
  <si>
    <t>WFZINSST.XLS</t>
  </si>
  <si>
    <t xml:space="preserve">W a l t e r   F R I C K E,   M o n h e i m   (WF) </t>
  </si>
  <si>
    <t>Die Arbeitsmappe enthält folgende Tabellen:</t>
  </si>
  <si>
    <t>-</t>
  </si>
  <si>
    <t>info (diese Programmerläuterungen)</t>
  </si>
  <si>
    <t>Zinsstaffel</t>
  </si>
  <si>
    <t>Kapitalanlage (Zinsstaffel-Kurzform)</t>
  </si>
  <si>
    <t xml:space="preserve">Alle Eingabefelder sind gelb mit danebenstehender Beschreibung: </t>
  </si>
  <si>
    <t>Erläuterungsbedürftige Felder sind mit einer Notiz (roter Punkt rechts oben) als Onlinehilfe</t>
  </si>
  <si>
    <t>versehen und können bei Bedarf aufgerufen werden. Dies sind:</t>
  </si>
  <si>
    <t>Zelle A9:</t>
  </si>
  <si>
    <t>Überschrift: individueller Text;  1 = Bauzwischenfinanzierung;  sonst = Zinsstaffel</t>
  </si>
  <si>
    <t>Zelle A10:</t>
  </si>
  <si>
    <t>Auswahlmöglichkeit, ob die Zinsstaffel mit Zinseszins zu bestimmten Terminen, zu</t>
  </si>
  <si>
    <t>jedem Termin oder ohne berechnet wird.</t>
  </si>
  <si>
    <t>1 =</t>
  </si>
  <si>
    <t>Zinseszins zu Terminen, die in Spalte  F  mit  z  gekennzeichnet sind.</t>
  </si>
  <si>
    <r>
      <t>Dann erscheint eine zusätzliche Spalte L</t>
    </r>
    <r>
      <rPr>
        <sz val="11"/>
        <color indexed="8"/>
        <rFont val="Arial"/>
        <family val="2"/>
      </rPr>
      <t xml:space="preserve"> mit den Kapitalisierungsbeträgen.</t>
    </r>
  </si>
  <si>
    <t>2 =</t>
  </si>
  <si>
    <t>Zinseszins zu jedem eingetragenen Termin (Jeder Zins wird kapitalisiert.)</t>
  </si>
  <si>
    <t>0 =</t>
  </si>
  <si>
    <t>ohne Zinseszins</t>
  </si>
  <si>
    <t>Zelle A11:</t>
  </si>
  <si>
    <t>Auswahlmöglichkeit der Zinstage:</t>
  </si>
  <si>
    <t>deutsche Art   (Monat: 30 Tage; Jahr: 360 Tage)</t>
  </si>
  <si>
    <t>(360/360)</t>
  </si>
  <si>
    <t>Euro                (Monat: genau; Jahr: 360 Tage)</t>
  </si>
  <si>
    <t>3 =</t>
  </si>
  <si>
    <t>Zelle A12:</t>
  </si>
  <si>
    <t>Bei Eingabe von 1 hat bei 365 Tagen das Schaltjahr auch 365 Tage (Microsoft: IKV).</t>
  </si>
  <si>
    <t>Zelle A13:</t>
  </si>
  <si>
    <t>Barwert der Gesamtsumme abgezinst als Einmalbetrag  (XKAPITALWERT)</t>
  </si>
  <si>
    <t>Barwert als Summe der Einzelbarwerte der Liquiditäts-Zu- und abflüsse.</t>
  </si>
  <si>
    <t>Barwert 0,00 (Zelle i16 = Zielzelle); Abzinsungssatz (Zelle i13 = veränderbare Zelle)</t>
  </si>
  <si>
    <r>
      <t xml:space="preserve">ergibt den </t>
    </r>
    <r>
      <rPr>
        <sz val="11"/>
        <color indexed="12"/>
        <rFont val="Arial"/>
        <family val="2"/>
      </rPr>
      <t>internen Zinsfuß (p.a. vorschüssig)</t>
    </r>
    <r>
      <rPr>
        <sz val="11"/>
        <color indexed="8"/>
        <rFont val="Arial"/>
        <family val="2"/>
      </rPr>
      <t>. (IKV; NBW; XINTZINSFUSS)</t>
    </r>
  </si>
  <si>
    <t>Barwert als Summe der Einzelbarwerte nur der Zinsen</t>
  </si>
  <si>
    <t>ohne Barwerterrechnung</t>
  </si>
  <si>
    <t>Die für die Barwerterrechnung erforderlichen Eingaben erfolgen in den Zellen i12 bis i14.</t>
  </si>
  <si>
    <t>Zelle G9:</t>
  </si>
  <si>
    <t>Eingabe des Datums zu dem die Abrechnung erfolgen soll.</t>
  </si>
  <si>
    <t xml:space="preserve">Bei gelöschter Zelle (Entf - nicht 0) wird der letzte Termin aus der Zinsstaffel genommen. </t>
  </si>
  <si>
    <t>Zelle F21:</t>
  </si>
  <si>
    <t xml:space="preserve">Z als Spaltenkopf taucht nur auf, wenn in Zelle A10 1 eingegeben wurde. </t>
  </si>
  <si>
    <r>
      <t>In Spalte  F  ist neben dem jeweiligen Datum (Spalte G</t>
    </r>
    <r>
      <rPr>
        <sz val="11"/>
        <rFont val="Arial"/>
        <family val="2"/>
      </rPr>
      <t xml:space="preserve">), zu dem eine Verzinsung  </t>
    </r>
  </si>
  <si>
    <r>
      <t xml:space="preserve">gewünscht wird, der Buchstabe  </t>
    </r>
    <r>
      <rPr>
        <b/>
        <sz val="11"/>
        <color indexed="8"/>
        <rFont val="Arial"/>
        <family val="2"/>
      </rPr>
      <t>z</t>
    </r>
    <r>
      <rPr>
        <sz val="11"/>
        <color indexed="8"/>
        <rFont val="Arial"/>
        <family val="2"/>
      </rPr>
      <t xml:space="preserve">  einzugeben.</t>
    </r>
  </si>
  <si>
    <t>Die Zinsen bis zu diesem Termin werden dem Kapital zugeschlagen.</t>
  </si>
  <si>
    <t>Zelle H23:</t>
  </si>
  <si>
    <t xml:space="preserve">Ein in Zelle H23 eingegebener Zinssatz (auch 0,00) gilt solange, bis in einer Zelle </t>
  </si>
  <si>
    <t>darunter ein anderer Zinssatz  eingegeben wird. Dieser gilt dann wiederum bis zur</t>
  </si>
  <si>
    <t>nächsten Eingabe. Die Anzahl der Zinssatzänderungen wird neben dem Abrechnungs-</t>
  </si>
  <si>
    <t>datum angezeigt. Zinssatz löschen mit Taste "Entf"   (nicht mit 0).</t>
  </si>
  <si>
    <t>Zelle J22:</t>
  </si>
  <si>
    <r>
      <t xml:space="preserve">Die erste Zinsperiode wird um 1 Tag verlängert   (es erscheint ein </t>
    </r>
    <r>
      <rPr>
        <b/>
        <sz val="11"/>
        <color indexed="12"/>
        <rFont val="Arial"/>
        <family val="2"/>
      </rPr>
      <t>!</t>
    </r>
    <r>
      <rPr>
        <sz val="11"/>
        <color indexed="8"/>
        <rFont val="Arial"/>
        <family val="2"/>
      </rPr>
      <t>)</t>
    </r>
  </si>
  <si>
    <r>
      <t xml:space="preserve">Die letzte Zinsperiode wird um 1 Tag verlängert               </t>
    </r>
    <r>
      <rPr>
        <b/>
        <sz val="11"/>
        <color indexed="8"/>
        <rFont val="Arial"/>
        <family val="2"/>
      </rPr>
      <t>"</t>
    </r>
  </si>
  <si>
    <t>jeweils ohne</t>
  </si>
  <si>
    <t>Kapitalanlage</t>
  </si>
  <si>
    <t xml:space="preserve">Kurzform der Zinsstaffel (deutsche Art) bzw. eine Barwertberechnung für gleichbleibende bzw. </t>
  </si>
  <si>
    <t xml:space="preserve">pro Periode prozentual konstant veränderliche Anlagebeträge (= Ansparplan) oder für einen </t>
  </si>
  <si>
    <t>Einmalbetrag bei festem Zinssatz/Abzinsungssatz.</t>
  </si>
  <si>
    <t>Zelle A1:</t>
  </si>
  <si>
    <t>0 = Kapitalanlage</t>
  </si>
  <si>
    <t>1 = Barwertberechnung der Einzahlungen bzw. eines Einmalbetrages</t>
  </si>
  <si>
    <t>2 = Barwertberechnung vorschüssig</t>
  </si>
  <si>
    <t>Zelle A2:</t>
  </si>
  <si>
    <t xml:space="preserve">Bei Eingabe einer 1 erfolgt die Zinseszinsrechnung/Barwertberechnung für den </t>
  </si>
  <si>
    <t xml:space="preserve">Einmalbetrag (Zelle B12). Sonst ist  B12 ein fortlaufender Einzahlungsbetrag - mit </t>
  </si>
  <si>
    <t>oder ohne Progression (Zelle B13) -  zu jedem Zinstermin. (Progr. nicht bei Barwert)</t>
  </si>
  <si>
    <t>Wahlmöglichkeit, ob die Laufzeiteingabe in Zelle B9</t>
  </si>
  <si>
    <t>Tage (360), Monate (12), Quartale (4), Halbjahre (2) oder Jahre (1) sind.</t>
  </si>
  <si>
    <t>Andere (spätere) Verzinsung als Zahlung</t>
  </si>
  <si>
    <t>Zelle B10:</t>
  </si>
  <si>
    <t>Eingabe der Zahlungen und Verzinsungen/Abzinsungen p.a.</t>
  </si>
  <si>
    <t>Bei Eingabe von 0 erfolgt eine Verzinsung ohne Zinseszins; - bzw.</t>
  </si>
  <si>
    <t xml:space="preserve">eine Abzinsung über die Laufzeit entspr. Zelle A9. (Bei einem Einmalbetrag </t>
  </si>
  <si>
    <t>ist die Gesamtlaufzeit die Verrechnung p.a.)</t>
  </si>
  <si>
    <t>Nr.</t>
  </si>
  <si>
    <t>Betrag +/-</t>
  </si>
  <si>
    <t>Termin</t>
  </si>
  <si>
    <t>% Zins</t>
  </si>
  <si>
    <t>Kapital</t>
  </si>
  <si>
    <t>Tage</t>
  </si>
  <si>
    <t>365 Tage mit/ohne Schalttag</t>
  </si>
  <si>
    <t>Zelle A14:</t>
  </si>
  <si>
    <t>1 = vorschüssige Zinsverrechnung; - ansonsten nachschüssig</t>
  </si>
  <si>
    <t>Zelle T20:</t>
  </si>
  <si>
    <t>Eingabe eines Zinssatzes für die Bereitstellungsprovision (ohne %)</t>
  </si>
  <si>
    <t>Zelle U22:</t>
  </si>
  <si>
    <t>Eingabe des Datums, ab wann die Bereitstellungsprovision greift.</t>
  </si>
  <si>
    <t>Zelle K22:</t>
  </si>
  <si>
    <t>Rundungsstellen für die Zinsen (Normalfall: 2) bei Zielwertsuche: 9</t>
  </si>
  <si>
    <t>US-amerik. (Februar: genau)</t>
  </si>
  <si>
    <t>zusätzlich 1 in A13 = US-amerikanisch</t>
  </si>
  <si>
    <t>(360/360 - Februar: genau)</t>
  </si>
  <si>
    <t>englische Art   (Monat: genau; Jahr: 365 Tage)</t>
  </si>
  <si>
    <t>(365+366/360)</t>
  </si>
  <si>
    <t>(365+366/365)</t>
  </si>
  <si>
    <t>http://zinsmethoden.de/#5</t>
  </si>
  <si>
    <t>automatischer Druckbereich</t>
  </si>
  <si>
    <t>Zelle T21:</t>
  </si>
  <si>
    <t>0 = nachschüssige Verzinsung</t>
  </si>
  <si>
    <t>1 = vorschüssig mit Ersatzzinsfuß</t>
  </si>
  <si>
    <t>bezieht sich auf =INDIREKT(Zinsstaffel!$M$14)</t>
  </si>
  <si>
    <t>Grundbetrag</t>
  </si>
  <si>
    <t>Zins</t>
  </si>
  <si>
    <t>Jahre</t>
  </si>
  <si>
    <t>Endkapital</t>
  </si>
  <si>
    <t>Rückrechnung</t>
  </si>
  <si>
    <t>Stetige Verzinsung</t>
  </si>
  <si>
    <t>Wenn der Zeitraum z.B. vom 01.01. bis 31.12. ein ganzes Jahr (360 bzw. 365/366 Tage)</t>
  </si>
  <si>
    <t>sein soll (morning-evening); - je nach Definition 1 Tag vorne oder hinten mehr.</t>
  </si>
  <si>
    <t>irgend</t>
  </si>
  <si>
    <t>welche</t>
  </si>
  <si>
    <t>Texte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</si>
</sst>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€&quot;_-;\-* #,##0.00\ &quot;€&quot;_-;_-* &quot;-&quot;??\ &quot;€&quot;_-;_-@_-"/>
    <numFmt numFmtId="164" formatCode="#,##0.00;[Red]\-\ #,##0.00"/>
    <numFmt numFmtId="165" formatCode=";;;"/>
    <numFmt numFmtId="166" formatCode="General;[Red]\-General"/>
    <numFmt numFmtId="167" formatCode="General;\-General;General"/>
    <numFmt numFmtId="169" formatCode="General;[Red]\-General;"/>
    <numFmt numFmtId="170" formatCode="#,##0.00;[Red]\-\ #,##0.00;0.00"/>
    <numFmt numFmtId="171" formatCode="dd/mm/yyyy;\-\ 0;0"/>
    <numFmt numFmtId="172" formatCode="General;\ \-\ General;General"/>
    <numFmt numFmtId="173" formatCode="0.000;[Red]\-0.000;0.000"/>
    <numFmt numFmtId="174" formatCode="#,##0.00;[Red]\-#,##0.00"/>
    <numFmt numFmtId="175" formatCode="[Red][=1]&quot;löschen !&quot;;[Black]General"/>
    <numFmt numFmtId="176" formatCode="General;;"/>
    <numFmt numFmtId="177" formatCode="\.#,##0;\-\ \.#,##0"/>
    <numFmt numFmtId="179" formatCode="0.000%"/>
    <numFmt numFmtId="180" formatCode="0.000000"/>
  </numFmts>
  <fonts count="28" x14ac:knownFonts="1">
    <font>
      <sz val="11"/>
      <name val="Arial"/>
    </font>
    <font>
      <b/>
      <sz val="11"/>
      <name val="Arial"/>
      <family val="2"/>
    </font>
    <font>
      <sz val="11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indexed="10"/>
      <name val="Arial"/>
      <family val="2"/>
    </font>
    <font>
      <b/>
      <sz val="11"/>
      <color indexed="12"/>
      <name val="Arial"/>
      <family val="2"/>
    </font>
    <font>
      <b/>
      <sz val="11"/>
      <color indexed="8"/>
      <name val="Arial"/>
      <family val="2"/>
    </font>
    <font>
      <b/>
      <sz val="14"/>
      <name val="Arial"/>
      <family val="2"/>
    </font>
    <font>
      <b/>
      <sz val="11"/>
      <color indexed="12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sz val="11"/>
      <color indexed="12"/>
      <name val="Arial"/>
      <family val="2"/>
    </font>
    <font>
      <sz val="11"/>
      <color indexed="12"/>
      <name val="Wingdings"/>
      <charset val="2"/>
    </font>
    <font>
      <sz val="9"/>
      <name val="Arial"/>
      <family val="2"/>
    </font>
    <font>
      <sz val="11"/>
      <color indexed="10"/>
      <name val="Arial"/>
      <family val="2"/>
    </font>
    <font>
      <b/>
      <u/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3.2"/>
      <color indexed="12"/>
      <name val="Arial"/>
      <family val="2"/>
    </font>
    <font>
      <u/>
      <sz val="11"/>
      <name val="Arial"/>
      <family val="2"/>
    </font>
    <font>
      <sz val="11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14">
    <xf numFmtId="0" fontId="0" fillId="0" borderId="0"/>
    <xf numFmtId="0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1" fontId="4" fillId="0" borderId="0" applyNumberFormat="0" applyFont="0" applyProtection="0">
      <protection locked="0"/>
    </xf>
    <xf numFmtId="0" fontId="4" fillId="0" borderId="0"/>
    <xf numFmtId="0" fontId="3" fillId="0" borderId="0"/>
    <xf numFmtId="0" fontId="3" fillId="0" borderId="0"/>
    <xf numFmtId="1" fontId="4" fillId="0" borderId="0" applyNumberFormat="0" applyFont="0" applyProtection="0">
      <protection locked="0"/>
    </xf>
    <xf numFmtId="0" fontId="3" fillId="0" borderId="0"/>
    <xf numFmtId="0" fontId="2" fillId="0" borderId="0"/>
  </cellStyleXfs>
  <cellXfs count="188">
    <xf numFmtId="0" fontId="0" fillId="0" borderId="0" xfId="0"/>
    <xf numFmtId="0" fontId="5" fillId="0" borderId="0" xfId="6" applyFont="1"/>
    <xf numFmtId="0" fontId="6" fillId="0" borderId="0" xfId="6" applyFont="1"/>
    <xf numFmtId="165" fontId="7" fillId="0" borderId="0" xfId="6" applyNumberFormat="1" applyFont="1" applyAlignment="1">
      <alignment horizontal="left"/>
    </xf>
    <xf numFmtId="0" fontId="5" fillId="0" borderId="0" xfId="6" quotePrefix="1" applyFont="1"/>
    <xf numFmtId="0" fontId="5" fillId="0" borderId="0" xfId="6" quotePrefix="1" applyFont="1" applyAlignment="1">
      <alignment horizontal="left"/>
    </xf>
    <xf numFmtId="0" fontId="5" fillId="0" borderId="0" xfId="6" applyFont="1" applyAlignment="1">
      <alignment horizontal="left"/>
    </xf>
    <xf numFmtId="0" fontId="8" fillId="0" borderId="0" xfId="6" applyFont="1"/>
    <xf numFmtId="0" fontId="10" fillId="0" borderId="0" xfId="6" applyFont="1"/>
    <xf numFmtId="0" fontId="3" fillId="0" borderId="0" xfId="6"/>
    <xf numFmtId="0" fontId="9" fillId="0" borderId="0" xfId="6" applyFont="1"/>
    <xf numFmtId="0" fontId="14" fillId="0" borderId="0" xfId="6" applyFont="1"/>
    <xf numFmtId="0" fontId="5" fillId="0" borderId="0" xfId="7" quotePrefix="1" applyNumberFormat="1" applyFont="1" applyAlignment="1" applyProtection="1">
      <alignment horizontal="left"/>
    </xf>
    <xf numFmtId="0" fontId="5" fillId="0" borderId="0" xfId="7" applyNumberFormat="1" applyFont="1" applyProtection="1"/>
    <xf numFmtId="0" fontId="5" fillId="0" borderId="0" xfId="12" applyFont="1" applyAlignment="1" applyProtection="1">
      <protection hidden="1"/>
    </xf>
    <xf numFmtId="0" fontId="5" fillId="2" borderId="0" xfId="12" applyFont="1" applyFill="1" applyAlignment="1" applyProtection="1"/>
    <xf numFmtId="0" fontId="5" fillId="2" borderId="0" xfId="12" applyFont="1" applyFill="1" applyAlignment="1" applyProtection="1">
      <protection hidden="1"/>
    </xf>
    <xf numFmtId="0" fontId="5" fillId="2" borderId="0" xfId="12" applyFont="1" applyFill="1" applyAlignment="1" applyProtection="1">
      <protection locked="0"/>
    </xf>
    <xf numFmtId="0" fontId="3" fillId="0" borderId="0" xfId="12" applyFont="1" applyAlignment="1"/>
    <xf numFmtId="0" fontId="5" fillId="0" borderId="0" xfId="12" applyFont="1" applyAlignment="1" applyProtection="1">
      <protection locked="0"/>
    </xf>
    <xf numFmtId="14" fontId="5" fillId="0" borderId="0" xfId="12" applyNumberFormat="1" applyFont="1" applyAlignment="1" applyProtection="1">
      <protection hidden="1"/>
    </xf>
    <xf numFmtId="0" fontId="5" fillId="0" borderId="0" xfId="12" applyFont="1" applyAlignment="1"/>
    <xf numFmtId="0" fontId="2" fillId="0" borderId="0" xfId="0" applyFont="1" applyAlignment="1"/>
    <xf numFmtId="0" fontId="5" fillId="0" borderId="0" xfId="12" applyFont="1" applyProtection="1">
      <protection hidden="1"/>
    </xf>
    <xf numFmtId="0" fontId="5" fillId="3" borderId="0" xfId="12" applyFont="1" applyFill="1" applyProtection="1">
      <protection locked="0"/>
    </xf>
    <xf numFmtId="4" fontId="5" fillId="3" borderId="0" xfId="12" applyNumberFormat="1" applyFont="1" applyFill="1" applyAlignment="1" applyProtection="1">
      <alignment horizontal="center"/>
      <protection locked="0"/>
    </xf>
    <xf numFmtId="0" fontId="5" fillId="3" borderId="0" xfId="12" applyFont="1" applyFill="1" applyAlignment="1" applyProtection="1">
      <alignment horizontal="right"/>
      <protection locked="0"/>
    </xf>
    <xf numFmtId="4" fontId="5" fillId="3" borderId="0" xfId="12" applyNumberFormat="1" applyFont="1" applyFill="1" applyAlignment="1" applyProtection="1">
      <alignment horizontal="left"/>
      <protection locked="0"/>
    </xf>
    <xf numFmtId="0" fontId="5" fillId="0" borderId="0" xfId="12" applyFont="1" applyProtection="1">
      <protection locked="0"/>
    </xf>
    <xf numFmtId="4" fontId="15" fillId="4" borderId="0" xfId="12" applyNumberFormat="1" applyFont="1" applyFill="1" applyProtection="1">
      <protection hidden="1"/>
    </xf>
    <xf numFmtId="0" fontId="5" fillId="0" borderId="0" xfId="12" applyNumberFormat="1" applyFont="1" applyProtection="1">
      <protection locked="0"/>
    </xf>
    <xf numFmtId="167" fontId="5" fillId="0" borderId="0" xfId="12" applyNumberFormat="1" applyFont="1" applyAlignment="1">
      <alignment horizontal="center"/>
    </xf>
    <xf numFmtId="165" fontId="5" fillId="0" borderId="0" xfId="12" applyNumberFormat="1" applyFont="1" applyProtection="1">
      <protection locked="0"/>
    </xf>
    <xf numFmtId="164" fontId="5" fillId="3" borderId="0" xfId="12" applyNumberFormat="1" applyFont="1" applyFill="1" applyProtection="1">
      <protection locked="0"/>
    </xf>
    <xf numFmtId="3" fontId="5" fillId="3" borderId="0" xfId="12" quotePrefix="1" applyNumberFormat="1" applyFont="1" applyFill="1" applyProtection="1">
      <protection locked="0"/>
    </xf>
    <xf numFmtId="4" fontId="5" fillId="3" borderId="0" xfId="12" applyNumberFormat="1" applyFont="1" applyFill="1" applyAlignment="1" applyProtection="1">
      <alignment horizontal="justify"/>
      <protection locked="0"/>
    </xf>
    <xf numFmtId="167" fontId="0" fillId="0" borderId="0" xfId="0" quotePrefix="1" applyNumberFormat="1" applyAlignment="1">
      <alignment horizontal="left"/>
    </xf>
    <xf numFmtId="0" fontId="5" fillId="3" borderId="0" xfId="12" applyNumberFormat="1" applyFont="1" applyFill="1" applyProtection="1">
      <protection locked="0"/>
    </xf>
    <xf numFmtId="4" fontId="5" fillId="3" borderId="0" xfId="12" applyNumberFormat="1" applyFont="1" applyFill="1" applyAlignment="1" applyProtection="1">
      <alignment horizontal="right"/>
      <protection locked="0"/>
    </xf>
    <xf numFmtId="4" fontId="5" fillId="2" borderId="0" xfId="12" applyNumberFormat="1" applyFont="1" applyFill="1" applyProtection="1">
      <protection locked="0"/>
    </xf>
    <xf numFmtId="0" fontId="5" fillId="3" borderId="0" xfId="12" applyFont="1" applyFill="1" applyAlignment="1" applyProtection="1">
      <alignment horizontal="left"/>
      <protection locked="0"/>
    </xf>
    <xf numFmtId="4" fontId="5" fillId="3" borderId="0" xfId="12" applyNumberFormat="1" applyFont="1" applyFill="1" applyProtection="1">
      <protection locked="0"/>
    </xf>
    <xf numFmtId="166" fontId="5" fillId="3" borderId="0" xfId="12" applyNumberFormat="1" applyFont="1" applyFill="1" applyProtection="1">
      <protection locked="0"/>
    </xf>
    <xf numFmtId="0" fontId="5" fillId="0" borderId="0" xfId="12" applyFont="1" applyAlignment="1" applyProtection="1">
      <alignment horizontal="left"/>
      <protection locked="0"/>
    </xf>
    <xf numFmtId="0" fontId="5" fillId="0" borderId="0" xfId="12" applyFont="1" applyAlignment="1" applyProtection="1">
      <alignment horizontal="right"/>
      <protection locked="0"/>
    </xf>
    <xf numFmtId="4" fontId="5" fillId="0" borderId="0" xfId="12" applyNumberFormat="1" applyFont="1" applyProtection="1">
      <protection locked="0"/>
    </xf>
    <xf numFmtId="14" fontId="9" fillId="2" borderId="0" xfId="12" applyNumberFormat="1" applyFont="1" applyFill="1" applyProtection="1">
      <protection locked="0"/>
    </xf>
    <xf numFmtId="165" fontId="9" fillId="3" borderId="0" xfId="1" applyNumberFormat="1" applyFont="1" applyFill="1" applyAlignment="1" applyProtection="1">
      <protection locked="0"/>
    </xf>
    <xf numFmtId="0" fontId="1" fillId="0" borderId="0" xfId="12" applyFont="1" applyProtection="1">
      <protection hidden="1"/>
    </xf>
    <xf numFmtId="0" fontId="5" fillId="0" borderId="0" xfId="12" applyFont="1" applyAlignment="1">
      <alignment horizontal="left"/>
    </xf>
    <xf numFmtId="0" fontId="5" fillId="0" borderId="0" xfId="12" applyFont="1"/>
    <xf numFmtId="0" fontId="5" fillId="0" borderId="0" xfId="12" applyFont="1" applyAlignment="1">
      <alignment horizontal="right"/>
    </xf>
    <xf numFmtId="171" fontId="16" fillId="3" borderId="0" xfId="12" applyNumberFormat="1" applyFont="1" applyFill="1" applyAlignment="1" applyProtection="1">
      <alignment horizontal="left"/>
      <protection locked="0"/>
    </xf>
    <xf numFmtId="1" fontId="5" fillId="0" borderId="0" xfId="12" applyNumberFormat="1" applyFont="1" applyAlignment="1" applyProtection="1">
      <alignment horizontal="left"/>
      <protection hidden="1"/>
    </xf>
    <xf numFmtId="14" fontId="5" fillId="0" borderId="0" xfId="12" applyNumberFormat="1" applyFont="1" applyProtection="1">
      <protection hidden="1"/>
    </xf>
    <xf numFmtId="0" fontId="5" fillId="0" borderId="0" xfId="12" applyFont="1" applyAlignment="1" applyProtection="1">
      <alignment horizontal="left"/>
      <protection hidden="1"/>
    </xf>
    <xf numFmtId="0" fontId="5" fillId="0" borderId="0" xfId="12" applyFont="1" applyAlignment="1" applyProtection="1">
      <alignment horizontal="right"/>
      <protection hidden="1"/>
    </xf>
    <xf numFmtId="0" fontId="2" fillId="0" borderId="0" xfId="12" applyFont="1" applyProtection="1">
      <protection locked="0"/>
    </xf>
    <xf numFmtId="4" fontId="5" fillId="0" borderId="0" xfId="12" applyNumberFormat="1" applyFont="1" applyProtection="1">
      <protection hidden="1"/>
    </xf>
    <xf numFmtId="0" fontId="3" fillId="0" borderId="0" xfId="12"/>
    <xf numFmtId="0" fontId="5" fillId="0" borderId="0" xfId="12" applyNumberFormat="1" applyFont="1" applyProtection="1">
      <protection hidden="1"/>
    </xf>
    <xf numFmtId="4" fontId="5" fillId="0" borderId="0" xfId="12" applyNumberFormat="1" applyFont="1" applyAlignment="1" applyProtection="1">
      <alignment horizontal="right"/>
      <protection hidden="1"/>
    </xf>
    <xf numFmtId="0" fontId="15" fillId="0" borderId="0" xfId="12" applyFont="1" applyAlignment="1" applyProtection="1">
      <alignment horizontal="right"/>
      <protection hidden="1"/>
    </xf>
    <xf numFmtId="0" fontId="2" fillId="0" borderId="0" xfId="12" applyFont="1" applyAlignment="1" applyProtection="1">
      <alignment horizontal="left" vertical="center"/>
      <protection hidden="1"/>
    </xf>
    <xf numFmtId="0" fontId="17" fillId="0" borderId="0" xfId="12" applyFont="1" applyProtection="1">
      <protection hidden="1"/>
    </xf>
    <xf numFmtId="0" fontId="17" fillId="0" borderId="0" xfId="12" applyFont="1" applyAlignment="1" applyProtection="1">
      <alignment horizontal="left"/>
      <protection hidden="1"/>
    </xf>
    <xf numFmtId="170" fontId="1" fillId="2" borderId="0" xfId="12" applyNumberFormat="1" applyFont="1" applyFill="1" applyProtection="1">
      <protection hidden="1"/>
    </xf>
    <xf numFmtId="165" fontId="5" fillId="3" borderId="0" xfId="12" applyNumberFormat="1" applyFont="1" applyFill="1" applyProtection="1">
      <protection locked="0"/>
    </xf>
    <xf numFmtId="164" fontId="17" fillId="0" borderId="0" xfId="12" applyNumberFormat="1" applyFont="1" applyAlignment="1" applyProtection="1">
      <alignment horizontal="right"/>
      <protection hidden="1"/>
    </xf>
    <xf numFmtId="170" fontId="17" fillId="2" borderId="0" xfId="12" applyNumberFormat="1" applyFont="1" applyFill="1" applyProtection="1">
      <protection hidden="1"/>
    </xf>
    <xf numFmtId="0" fontId="1" fillId="0" borderId="0" xfId="12" applyNumberFormat="1" applyFont="1" applyAlignment="1" applyProtection="1">
      <alignment horizontal="right"/>
      <protection hidden="1"/>
    </xf>
    <xf numFmtId="167" fontId="5" fillId="0" borderId="0" xfId="12" applyNumberFormat="1" applyFont="1" applyAlignment="1" applyProtection="1">
      <alignment horizontal="center"/>
      <protection hidden="1"/>
    </xf>
    <xf numFmtId="4" fontId="18" fillId="0" borderId="0" xfId="12" applyNumberFormat="1" applyFont="1" applyProtection="1">
      <protection hidden="1"/>
    </xf>
    <xf numFmtId="49" fontId="5" fillId="0" borderId="0" xfId="12" applyNumberFormat="1" applyFont="1"/>
    <xf numFmtId="0" fontId="15" fillId="0" borderId="0" xfId="12" applyFont="1" applyAlignment="1" applyProtection="1">
      <alignment horizontal="center"/>
      <protection locked="0"/>
    </xf>
    <xf numFmtId="167" fontId="15" fillId="5" borderId="0" xfId="12" applyNumberFormat="1" applyFont="1" applyFill="1" applyAlignment="1">
      <alignment horizontal="center"/>
    </xf>
    <xf numFmtId="0" fontId="17" fillId="0" borderId="0" xfId="12" applyFont="1" applyAlignment="1" applyProtection="1">
      <alignment horizontal="right"/>
      <protection hidden="1"/>
    </xf>
    <xf numFmtId="4" fontId="17" fillId="0" borderId="0" xfId="12" applyNumberFormat="1" applyFont="1" applyAlignment="1" applyProtection="1">
      <alignment horizontal="right"/>
      <protection hidden="1"/>
    </xf>
    <xf numFmtId="4" fontId="2" fillId="0" borderId="0" xfId="12" applyNumberFormat="1" applyFont="1" applyAlignment="1" applyProtection="1">
      <protection hidden="1"/>
    </xf>
    <xf numFmtId="167" fontId="5" fillId="0" borderId="0" xfId="12" applyNumberFormat="1" applyFont="1" applyAlignment="1" applyProtection="1">
      <alignment horizontal="right"/>
      <protection hidden="1"/>
    </xf>
    <xf numFmtId="170" fontId="5" fillId="0" borderId="0" xfId="12" applyNumberFormat="1" applyFont="1" applyProtection="1">
      <protection hidden="1"/>
    </xf>
    <xf numFmtId="0" fontId="19" fillId="0" borderId="0" xfId="12" applyFont="1" applyAlignment="1">
      <alignment horizontal="center"/>
    </xf>
    <xf numFmtId="4" fontId="5" fillId="0" borderId="0" xfId="12" applyNumberFormat="1" applyFont="1"/>
    <xf numFmtId="14" fontId="5" fillId="0" borderId="0" xfId="12" applyNumberFormat="1" applyFont="1" applyAlignment="1" applyProtection="1">
      <alignment horizontal="left"/>
      <protection hidden="1"/>
    </xf>
    <xf numFmtId="171" fontId="10" fillId="3" borderId="0" xfId="12" applyNumberFormat="1" applyFont="1" applyFill="1" applyAlignment="1" applyProtection="1">
      <protection locked="0"/>
    </xf>
    <xf numFmtId="173" fontId="5" fillId="3" borderId="0" xfId="12" applyNumberFormat="1" applyFont="1" applyFill="1" applyProtection="1">
      <protection locked="0"/>
    </xf>
    <xf numFmtId="174" fontId="5" fillId="0" borderId="0" xfId="12" applyNumberFormat="1" applyFont="1" applyProtection="1">
      <protection hidden="1"/>
    </xf>
    <xf numFmtId="166" fontId="5" fillId="0" borderId="0" xfId="12" applyNumberFormat="1" applyFont="1" applyProtection="1">
      <protection hidden="1"/>
    </xf>
    <xf numFmtId="167" fontId="5" fillId="0" borderId="0" xfId="12" applyNumberFormat="1" applyFont="1"/>
    <xf numFmtId="0" fontId="5" fillId="3" borderId="0" xfId="12" quotePrefix="1" applyFont="1" applyFill="1" applyAlignment="1" applyProtection="1">
      <alignment horizontal="left"/>
      <protection locked="0"/>
    </xf>
    <xf numFmtId="14" fontId="5" fillId="3" borderId="0" xfId="12" applyNumberFormat="1" applyFont="1" applyFill="1" applyProtection="1">
      <protection locked="0"/>
    </xf>
    <xf numFmtId="0" fontId="5" fillId="0" borderId="0" xfId="9" applyFont="1" applyProtection="1">
      <protection hidden="1"/>
    </xf>
    <xf numFmtId="0" fontId="3" fillId="0" borderId="0" xfId="9" applyProtection="1">
      <protection hidden="1"/>
    </xf>
    <xf numFmtId="0" fontId="3" fillId="0" borderId="0" xfId="9"/>
    <xf numFmtId="0" fontId="3" fillId="0" borderId="0" xfId="9" applyNumberFormat="1"/>
    <xf numFmtId="0" fontId="8" fillId="0" borderId="0" xfId="9" applyFont="1" applyAlignment="1" applyProtection="1">
      <protection hidden="1"/>
    </xf>
    <xf numFmtId="0" fontId="7" fillId="0" borderId="0" xfId="9" applyFont="1" applyAlignment="1" applyProtection="1">
      <alignment horizontal="centerContinuous"/>
      <protection hidden="1"/>
    </xf>
    <xf numFmtId="0" fontId="1" fillId="0" borderId="0" xfId="9" applyFont="1" applyAlignment="1" applyProtection="1">
      <protection hidden="1"/>
    </xf>
    <xf numFmtId="0" fontId="20" fillId="0" borderId="0" xfId="9" applyFont="1" applyProtection="1">
      <protection hidden="1"/>
    </xf>
    <xf numFmtId="0" fontId="9" fillId="3" borderId="0" xfId="9" applyNumberFormat="1" applyFont="1" applyFill="1" applyProtection="1">
      <protection locked="0"/>
    </xf>
    <xf numFmtId="0" fontId="5" fillId="0" borderId="0" xfId="9" applyNumberFormat="1" applyFont="1" applyProtection="1">
      <protection hidden="1"/>
    </xf>
    <xf numFmtId="165" fontId="9" fillId="3" borderId="0" xfId="9" applyNumberFormat="1" applyFont="1" applyFill="1" applyProtection="1">
      <protection locked="0"/>
    </xf>
    <xf numFmtId="165" fontId="3" fillId="0" borderId="0" xfId="9" applyNumberFormat="1" applyProtection="1">
      <protection hidden="1"/>
    </xf>
    <xf numFmtId="165" fontId="5" fillId="3" borderId="0" xfId="11" applyNumberFormat="1" applyFont="1" applyFill="1" applyProtection="1">
      <protection locked="0"/>
    </xf>
    <xf numFmtId="0" fontId="0" fillId="0" borderId="0" xfId="0" applyProtection="1">
      <protection hidden="1"/>
    </xf>
    <xf numFmtId="0" fontId="2" fillId="0" borderId="0" xfId="11" applyNumberFormat="1" applyFont="1" applyProtection="1">
      <protection hidden="1"/>
    </xf>
    <xf numFmtId="170" fontId="9" fillId="3" borderId="0" xfId="9" applyNumberFormat="1" applyFont="1" applyFill="1" applyProtection="1">
      <protection locked="0"/>
    </xf>
    <xf numFmtId="169" fontId="9" fillId="3" borderId="0" xfId="9" applyNumberFormat="1" applyFont="1" applyFill="1" applyProtection="1">
      <protection locked="0"/>
    </xf>
    <xf numFmtId="0" fontId="2" fillId="0" borderId="0" xfId="9" applyFont="1" applyAlignment="1" applyProtection="1">
      <alignment horizontal="left" vertical="center"/>
      <protection hidden="1"/>
    </xf>
    <xf numFmtId="0" fontId="11" fillId="0" borderId="0" xfId="9" applyFont="1" applyAlignment="1" applyProtection="1">
      <alignment horizontal="left"/>
      <protection hidden="1"/>
    </xf>
    <xf numFmtId="172" fontId="2" fillId="0" borderId="0" xfId="11" applyNumberFormat="1" applyFont="1" applyProtection="1">
      <protection hidden="1"/>
    </xf>
    <xf numFmtId="170" fontId="17" fillId="0" borderId="0" xfId="9" applyNumberFormat="1" applyFont="1" applyProtection="1">
      <protection hidden="1"/>
    </xf>
    <xf numFmtId="0" fontId="1" fillId="0" borderId="0" xfId="9" applyNumberFormat="1" applyFont="1" applyProtection="1">
      <protection hidden="1"/>
    </xf>
    <xf numFmtId="170" fontId="5" fillId="0" borderId="0" xfId="9" applyNumberFormat="1" applyFont="1" applyProtection="1">
      <protection hidden="1"/>
    </xf>
    <xf numFmtId="175" fontId="10" fillId="2" borderId="0" xfId="8" applyNumberFormat="1" applyFont="1" applyFill="1" applyAlignment="1" applyProtection="1">
      <protection hidden="1"/>
    </xf>
    <xf numFmtId="4" fontId="10" fillId="3" borderId="0" xfId="11" applyNumberFormat="1" applyFont="1" applyFill="1" applyProtection="1">
      <protection locked="0"/>
    </xf>
    <xf numFmtId="0" fontId="11" fillId="0" borderId="0" xfId="12" applyFont="1" applyAlignment="1" applyProtection="1">
      <alignment horizontal="center"/>
      <protection hidden="1"/>
    </xf>
    <xf numFmtId="4" fontId="18" fillId="0" borderId="0" xfId="12" applyNumberFormat="1" applyFont="1" applyAlignment="1" applyProtection="1">
      <alignment horizontal="left"/>
      <protection hidden="1"/>
    </xf>
    <xf numFmtId="4" fontId="5" fillId="0" borderId="0" xfId="12" applyNumberFormat="1" applyFont="1" applyAlignment="1" applyProtection="1">
      <protection locked="0"/>
    </xf>
    <xf numFmtId="4" fontId="0" fillId="0" borderId="0" xfId="0" applyNumberFormat="1"/>
    <xf numFmtId="4" fontId="5" fillId="0" borderId="0" xfId="12" applyNumberFormat="1" applyFont="1" applyAlignment="1">
      <alignment horizontal="center"/>
    </xf>
    <xf numFmtId="4" fontId="1" fillId="0" borderId="0" xfId="12" applyNumberFormat="1" applyFont="1" applyAlignment="1">
      <alignment horizontal="right"/>
    </xf>
    <xf numFmtId="0" fontId="18" fillId="0" borderId="0" xfId="0" applyFont="1" applyProtection="1">
      <protection hidden="1"/>
    </xf>
    <xf numFmtId="170" fontId="12" fillId="0" borderId="0" xfId="9" applyNumberFormat="1" applyFont="1" applyProtection="1">
      <protection hidden="1"/>
    </xf>
    <xf numFmtId="170" fontId="18" fillId="0" borderId="0" xfId="9" applyNumberFormat="1" applyFont="1" applyProtection="1">
      <protection hidden="1"/>
    </xf>
    <xf numFmtId="0" fontId="18" fillId="0" borderId="0" xfId="0" applyFont="1"/>
    <xf numFmtId="0" fontId="18" fillId="5" borderId="0" xfId="11" applyNumberFormat="1" applyFont="1" applyFill="1" applyProtection="1">
      <protection hidden="1"/>
    </xf>
    <xf numFmtId="170" fontId="13" fillId="0" borderId="0" xfId="9" applyNumberFormat="1" applyFont="1" applyProtection="1">
      <protection hidden="1"/>
    </xf>
    <xf numFmtId="170" fontId="9" fillId="3" borderId="0" xfId="9" applyNumberFormat="1" applyFont="1" applyFill="1" applyAlignment="1" applyProtection="1">
      <alignment horizontal="left"/>
      <protection locked="0"/>
    </xf>
    <xf numFmtId="0" fontId="0" fillId="0" borderId="0" xfId="0" applyProtection="1"/>
    <xf numFmtId="0" fontId="1" fillId="0" borderId="0" xfId="10" applyNumberFormat="1" applyFont="1" applyProtection="1">
      <protection locked="0"/>
    </xf>
    <xf numFmtId="0" fontId="5" fillId="3" borderId="0" xfId="12" applyNumberFormat="1" applyFont="1" applyFill="1" applyAlignment="1" applyProtection="1">
      <alignment horizontal="left"/>
      <protection locked="0"/>
    </xf>
    <xf numFmtId="176" fontId="5" fillId="3" borderId="0" xfId="12" applyNumberFormat="1" applyFont="1" applyFill="1" applyAlignment="1" applyProtection="1">
      <alignment horizontal="right"/>
      <protection locked="0"/>
    </xf>
    <xf numFmtId="0" fontId="12" fillId="0" borderId="0" xfId="12" applyFont="1" applyProtection="1">
      <protection hidden="1"/>
    </xf>
    <xf numFmtId="170" fontId="17" fillId="0" borderId="0" xfId="12" applyNumberFormat="1" applyFont="1" applyFill="1" applyBorder="1" applyAlignment="1" applyProtection="1">
      <alignment horizontal="right"/>
      <protection hidden="1"/>
    </xf>
    <xf numFmtId="0" fontId="2" fillId="0" borderId="0" xfId="12" applyFont="1" applyAlignment="1" applyProtection="1">
      <alignment horizontal="right"/>
      <protection hidden="1"/>
    </xf>
    <xf numFmtId="0" fontId="12" fillId="0" borderId="0" xfId="12" applyFont="1" applyAlignment="1" applyProtection="1">
      <alignment horizontal="right"/>
      <protection hidden="1"/>
    </xf>
    <xf numFmtId="177" fontId="22" fillId="0" borderId="0" xfId="0" applyNumberFormat="1" applyFont="1" applyAlignment="1">
      <alignment horizontal="right"/>
    </xf>
    <xf numFmtId="0" fontId="15" fillId="0" borderId="0" xfId="0" applyFont="1" applyProtection="1">
      <protection hidden="1"/>
    </xf>
    <xf numFmtId="0" fontId="11" fillId="0" borderId="0" xfId="12" quotePrefix="1" applyFont="1" applyAlignment="1" applyProtection="1">
      <alignment horizontal="right"/>
      <protection hidden="1"/>
    </xf>
    <xf numFmtId="0" fontId="17" fillId="0" borderId="0" xfId="12" applyFont="1" applyAlignment="1">
      <alignment horizontal="right" vertical="top"/>
    </xf>
    <xf numFmtId="171" fontId="13" fillId="3" borderId="0" xfId="12" applyNumberFormat="1" applyFont="1" applyFill="1" applyAlignment="1" applyProtection="1">
      <alignment vertical="top"/>
      <protection locked="0"/>
    </xf>
    <xf numFmtId="4" fontId="21" fillId="0" borderId="0" xfId="12" applyNumberFormat="1" applyFont="1" applyProtection="1">
      <protection hidden="1"/>
    </xf>
    <xf numFmtId="0" fontId="5" fillId="0" borderId="0" xfId="0" applyFont="1"/>
    <xf numFmtId="0" fontId="18" fillId="0" borderId="0" xfId="3" applyFont="1" applyAlignment="1" applyProtection="1"/>
    <xf numFmtId="0" fontId="18" fillId="0" borderId="0" xfId="6" applyFont="1"/>
    <xf numFmtId="0" fontId="5" fillId="0" borderId="0" xfId="12" quotePrefix="1" applyFont="1"/>
    <xf numFmtId="0" fontId="18" fillId="0" borderId="0" xfId="12" applyFont="1" applyProtection="1">
      <protection hidden="1"/>
    </xf>
    <xf numFmtId="4" fontId="21" fillId="0" borderId="0" xfId="12" applyNumberFormat="1" applyFont="1"/>
    <xf numFmtId="0" fontId="0" fillId="0" borderId="0" xfId="0" quotePrefix="1" applyAlignment="1">
      <alignment horizontal="right"/>
    </xf>
    <xf numFmtId="0" fontId="11" fillId="0" borderId="0" xfId="0" applyFont="1" applyAlignment="1" applyProtection="1">
      <alignment horizontal="center"/>
      <protection hidden="1"/>
    </xf>
    <xf numFmtId="22" fontId="5" fillId="0" borderId="0" xfId="12" applyNumberFormat="1" applyFont="1"/>
    <xf numFmtId="0" fontId="0" fillId="0" borderId="0" xfId="0" applyAlignment="1">
      <alignment horizontal="center"/>
    </xf>
    <xf numFmtId="0" fontId="5" fillId="0" borderId="0" xfId="12" applyNumberFormat="1" applyFont="1"/>
    <xf numFmtId="164" fontId="17" fillId="3" borderId="0" xfId="12" applyNumberFormat="1" applyFont="1" applyFill="1" applyProtection="1">
      <protection locked="0"/>
    </xf>
    <xf numFmtId="174" fontId="17" fillId="0" borderId="0" xfId="12" applyNumberFormat="1" applyFont="1"/>
    <xf numFmtId="0" fontId="17" fillId="0" borderId="0" xfId="12" applyFont="1"/>
    <xf numFmtId="14" fontId="5" fillId="0" borderId="0" xfId="12" applyNumberFormat="1" applyFont="1"/>
    <xf numFmtId="167" fontId="2" fillId="0" borderId="0" xfId="0" applyNumberFormat="1" applyFont="1" applyAlignment="1"/>
    <xf numFmtId="167" fontId="0" fillId="0" borderId="0" xfId="0" applyNumberFormat="1"/>
    <xf numFmtId="167" fontId="5" fillId="0" borderId="0" xfId="12" applyNumberFormat="1" applyFont="1" applyProtection="1">
      <protection locked="0"/>
    </xf>
    <xf numFmtId="167" fontId="5" fillId="0" borderId="0" xfId="12" applyNumberFormat="1" applyFont="1" applyProtection="1">
      <protection hidden="1"/>
    </xf>
    <xf numFmtId="166" fontId="5" fillId="0" borderId="0" xfId="12" quotePrefix="1" applyNumberFormat="1" applyFont="1" applyProtection="1">
      <protection hidden="1"/>
    </xf>
    <xf numFmtId="174" fontId="5" fillId="0" borderId="0" xfId="12" quotePrefix="1" applyNumberFormat="1" applyFont="1" applyProtection="1">
      <protection hidden="1"/>
    </xf>
    <xf numFmtId="0" fontId="17" fillId="0" borderId="0" xfId="9" applyNumberFormat="1" applyFont="1" applyProtection="1">
      <protection hidden="1"/>
    </xf>
    <xf numFmtId="0" fontId="17" fillId="3" borderId="0" xfId="12" applyNumberFormat="1" applyFont="1" applyFill="1" applyProtection="1">
      <protection locked="0"/>
    </xf>
    <xf numFmtId="0" fontId="21" fillId="0" borderId="0" xfId="6" applyFont="1"/>
    <xf numFmtId="0" fontId="21" fillId="0" borderId="0" xfId="6" quotePrefix="1" applyFont="1"/>
    <xf numFmtId="0" fontId="12" fillId="0" borderId="0" xfId="12" applyFont="1" applyProtection="1">
      <protection locked="0"/>
    </xf>
    <xf numFmtId="4" fontId="5" fillId="3" borderId="0" xfId="5" applyNumberFormat="1" applyFont="1" applyFill="1" applyAlignment="1" applyProtection="1">
      <alignment horizontal="left"/>
      <protection locked="0"/>
    </xf>
    <xf numFmtId="170" fontId="9" fillId="3" borderId="0" xfId="4" applyNumberFormat="1" applyFont="1" applyFill="1" applyProtection="1">
      <protection locked="0"/>
    </xf>
    <xf numFmtId="4" fontId="2" fillId="3" borderId="0" xfId="4" applyNumberFormat="1" applyFont="1" applyFill="1" applyAlignment="1" applyProtection="1">
      <alignment horizontal="right"/>
      <protection locked="0"/>
    </xf>
    <xf numFmtId="4" fontId="2" fillId="3" borderId="0" xfId="4" applyNumberFormat="1" applyFont="1" applyFill="1" applyAlignment="1" applyProtection="1">
      <alignment horizontal="left"/>
      <protection locked="0"/>
    </xf>
    <xf numFmtId="170" fontId="26" fillId="3" borderId="0" xfId="12" applyNumberFormat="1" applyFont="1" applyFill="1" applyProtection="1">
      <protection locked="0"/>
    </xf>
    <xf numFmtId="164" fontId="5" fillId="3" borderId="0" xfId="12" applyNumberFormat="1" applyFont="1" applyFill="1" applyAlignment="1" applyProtection="1">
      <alignment horizontal="left"/>
      <protection locked="0"/>
    </xf>
    <xf numFmtId="4" fontId="26" fillId="3" borderId="0" xfId="12" applyNumberFormat="1" applyFont="1" applyFill="1" applyAlignment="1" applyProtection="1">
      <alignment horizontal="right"/>
      <protection locked="0"/>
    </xf>
    <xf numFmtId="4" fontId="27" fillId="0" borderId="0" xfId="0" applyNumberFormat="1" applyFont="1"/>
    <xf numFmtId="180" fontId="27" fillId="0" borderId="0" xfId="0" applyNumberFormat="1" applyFont="1"/>
    <xf numFmtId="0" fontId="0" fillId="0" borderId="0" xfId="0" applyAlignment="1">
      <alignment horizontal="right"/>
    </xf>
    <xf numFmtId="0" fontId="2" fillId="0" borderId="0" xfId="6" applyFont="1"/>
    <xf numFmtId="4" fontId="2" fillId="0" borderId="0" xfId="12" quotePrefix="1" applyNumberFormat="1" applyFont="1" applyProtection="1">
      <protection hidden="1"/>
    </xf>
    <xf numFmtId="0" fontId="2" fillId="0" borderId="0" xfId="0" applyFont="1"/>
    <xf numFmtId="165" fontId="5" fillId="0" borderId="0" xfId="12" applyNumberFormat="1" applyFont="1"/>
    <xf numFmtId="179" fontId="18" fillId="3" borderId="0" xfId="12" applyNumberFormat="1" applyFont="1" applyFill="1" applyAlignment="1" applyProtection="1">
      <alignment horizontal="left"/>
      <protection locked="0"/>
    </xf>
    <xf numFmtId="164" fontId="2" fillId="3" borderId="0" xfId="12" applyNumberFormat="1" applyFont="1" applyFill="1" applyProtection="1">
      <protection locked="0"/>
    </xf>
    <xf numFmtId="0" fontId="2" fillId="3" borderId="0" xfId="12" applyFont="1" applyFill="1" applyAlignment="1" applyProtection="1">
      <alignment horizontal="right"/>
      <protection locked="0"/>
    </xf>
    <xf numFmtId="171" fontId="9" fillId="3" borderId="0" xfId="12" applyNumberFormat="1" applyFont="1" applyFill="1" applyAlignment="1" applyProtection="1">
      <protection locked="0"/>
    </xf>
    <xf numFmtId="173" fontId="2" fillId="3" borderId="0" xfId="12" applyNumberFormat="1" applyFont="1" applyFill="1" applyProtection="1">
      <protection locked="0"/>
    </xf>
  </cellXfs>
  <cellStyles count="14">
    <cellStyle name="Dezimal_GewSt" xfId="1"/>
    <cellStyle name="Euro" xfId="2"/>
    <cellStyle name="Link" xfId="3" builtinId="8"/>
    <cellStyle name="Standard" xfId="0" builtinId="0"/>
    <cellStyle name="Standard 2" xfId="13"/>
    <cellStyle name="Standard_Barwert" xfId="4"/>
    <cellStyle name="Standard_Betrag" xfId="5"/>
    <cellStyle name="Standard_info" xfId="6"/>
    <cellStyle name="Standard_info_1" xfId="7"/>
    <cellStyle name="Standard_kalk" xfId="8"/>
    <cellStyle name="Standard_Kapitalanlage" xfId="9"/>
    <cellStyle name="Standard_Sammelauswertung" xfId="10"/>
    <cellStyle name="Standard_Tilgungsplan" xfId="11"/>
    <cellStyle name="Standard_Zinsstaffel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18</xdr:row>
      <xdr:rowOff>97155</xdr:rowOff>
    </xdr:from>
    <xdr:to>
      <xdr:col>10</xdr:col>
      <xdr:colOff>773427</xdr:colOff>
      <xdr:row>19</xdr:row>
      <xdr:rowOff>380947</xdr:rowOff>
    </xdr:to>
    <xdr:sp macro="" textlink="M2">
      <xdr:nvSpPr>
        <xdr:cNvPr id="1026" name="Text 2"/>
        <xdr:cNvSpPr txBox="1">
          <a:spLocks noChangeArrowheads="1" noTextEdit="1"/>
        </xdr:cNvSpPr>
      </xdr:nvSpPr>
      <xdr:spPr bwMode="auto">
        <a:xfrm>
          <a:off x="3162300" y="3371850"/>
          <a:ext cx="3648075" cy="4667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/>
        <a:lstStyle/>
        <a:p>
          <a:fld id="{0EBFBAC1-3C5F-4EC6-8382-DF2B2181C2BB}" type="TxLink">
            <a:rPr lang="de-DE" sz="1100" b="1" i="0" u="none" strike="noStrike">
              <a:solidFill>
                <a:srgbClr val="0000FF"/>
              </a:solidFill>
              <a:latin typeface="Arial"/>
              <a:cs typeface="Arial"/>
            </a:rPr>
            <a:pPr/>
            <a:t> </a:t>
          </a:fld>
          <a:endParaRPr lang="de-DE"/>
        </a:p>
      </xdr:txBody>
    </xdr:sp>
    <xdr:clientData fPrintsWithSheet="0"/>
  </xdr:twoCellAnchor>
  <xdr:twoCellAnchor>
    <xdr:from>
      <xdr:col>10</xdr:col>
      <xdr:colOff>0</xdr:colOff>
      <xdr:row>19</xdr:row>
      <xdr:rowOff>336550</xdr:rowOff>
    </xdr:from>
    <xdr:to>
      <xdr:col>10</xdr:col>
      <xdr:colOff>112835</xdr:colOff>
      <xdr:row>20</xdr:row>
      <xdr:rowOff>109764</xdr:rowOff>
    </xdr:to>
    <xdr:sp macro="" textlink="M20">
      <xdr:nvSpPr>
        <xdr:cNvPr id="1033" name="Text 9"/>
        <xdr:cNvSpPr txBox="1">
          <a:spLocks noChangeArrowheads="1"/>
        </xdr:cNvSpPr>
      </xdr:nvSpPr>
      <xdr:spPr bwMode="auto">
        <a:xfrm>
          <a:off x="6013450" y="3670300"/>
          <a:ext cx="112835" cy="154214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/>
        <a:lstStyle/>
        <a:p>
          <a:fld id="{94910CEA-FF31-4C29-9F42-DDBD317A76A5}" type="TxLink">
            <a:rPr lang="de-DE" sz="1100" b="1" i="0" u="none" strike="noStrike">
              <a:solidFill>
                <a:srgbClr val="0000FF"/>
              </a:solidFill>
              <a:latin typeface="Arial"/>
              <a:cs typeface="Arial"/>
            </a:rPr>
            <a:pPr/>
            <a:t>!</a:t>
          </a:fld>
          <a:endParaRPr lang="de-DE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96"/>
  <sheetViews>
    <sheetView showGridLines="0" zoomScale="120" workbookViewId="0">
      <selection activeCell="I19" sqref="I19"/>
    </sheetView>
  </sheetViews>
  <sheetFormatPr baseColWidth="10" defaultColWidth="11" defaultRowHeight="13.8" x14ac:dyDescent="0.25"/>
  <cols>
    <col min="1" max="1" width="2.59765625" style="1" customWidth="1"/>
    <col min="2" max="2" width="1.5" style="1" customWidth="1"/>
    <col min="3" max="3" width="9.09765625" style="1" customWidth="1"/>
    <col min="4" max="4" width="3.69921875" style="1" customWidth="1"/>
    <col min="5" max="7" width="11" style="1"/>
    <col min="8" max="8" width="8.19921875" style="1" customWidth="1"/>
    <col min="9" max="9" width="27" style="1" customWidth="1"/>
    <col min="10" max="16384" width="11" style="1"/>
  </cols>
  <sheetData>
    <row r="2" spans="2:12" ht="21" x14ac:dyDescent="0.4">
      <c r="B2" s="2" t="s">
        <v>0</v>
      </c>
      <c r="L2" s="3" t="s">
        <v>1</v>
      </c>
    </row>
    <row r="3" spans="2:12" ht="19.95" customHeight="1" x14ac:dyDescent="0.25">
      <c r="B3" s="4" t="s">
        <v>2</v>
      </c>
    </row>
    <row r="4" spans="2:12" x14ac:dyDescent="0.25">
      <c r="B4" s="5" t="s">
        <v>3</v>
      </c>
      <c r="C4" s="1" t="s">
        <v>4</v>
      </c>
    </row>
    <row r="5" spans="2:12" x14ac:dyDescent="0.25">
      <c r="B5" s="5" t="s">
        <v>3</v>
      </c>
      <c r="C5" s="1" t="s">
        <v>5</v>
      </c>
    </row>
    <row r="6" spans="2:12" x14ac:dyDescent="0.25">
      <c r="B6" s="5" t="s">
        <v>3</v>
      </c>
      <c r="C6" s="1" t="s">
        <v>6</v>
      </c>
    </row>
    <row r="7" spans="2:12" ht="19.95" customHeight="1" x14ac:dyDescent="0.25">
      <c r="B7" s="4" t="s">
        <v>7</v>
      </c>
    </row>
    <row r="8" spans="2:12" x14ac:dyDescent="0.25">
      <c r="B8" s="6" t="s">
        <v>8</v>
      </c>
    </row>
    <row r="9" spans="2:12" x14ac:dyDescent="0.25">
      <c r="B9" s="6" t="s">
        <v>9</v>
      </c>
    </row>
    <row r="10" spans="2:12" x14ac:dyDescent="0.25">
      <c r="B10" s="6"/>
    </row>
    <row r="11" spans="2:12" ht="17.399999999999999" x14ac:dyDescent="0.3">
      <c r="B11" s="7" t="s">
        <v>5</v>
      </c>
    </row>
    <row r="12" spans="2:12" ht="19.95" customHeight="1" x14ac:dyDescent="0.25">
      <c r="B12" s="4" t="s">
        <v>3</v>
      </c>
      <c r="C12" s="1" t="s">
        <v>10</v>
      </c>
      <c r="D12" s="1" t="s">
        <v>11</v>
      </c>
    </row>
    <row r="13" spans="2:12" ht="19.95" customHeight="1" x14ac:dyDescent="0.25">
      <c r="B13" s="4" t="s">
        <v>3</v>
      </c>
      <c r="C13" s="1" t="s">
        <v>12</v>
      </c>
      <c r="D13" s="1" t="s">
        <v>13</v>
      </c>
    </row>
    <row r="14" spans="2:12" x14ac:dyDescent="0.25">
      <c r="D14" s="1" t="s">
        <v>14</v>
      </c>
    </row>
    <row r="15" spans="2:12" ht="15.6" customHeight="1" x14ac:dyDescent="0.25">
      <c r="D15" s="1" t="s">
        <v>15</v>
      </c>
      <c r="E15" s="10" t="s">
        <v>16</v>
      </c>
    </row>
    <row r="16" spans="2:12" x14ac:dyDescent="0.25">
      <c r="E16" s="1" t="s">
        <v>17</v>
      </c>
    </row>
    <row r="17" spans="2:12" x14ac:dyDescent="0.25">
      <c r="D17" s="1" t="s">
        <v>18</v>
      </c>
      <c r="E17" s="1" t="s">
        <v>19</v>
      </c>
    </row>
    <row r="18" spans="2:12" x14ac:dyDescent="0.25">
      <c r="D18" s="1" t="s">
        <v>20</v>
      </c>
      <c r="E18" s="8" t="s">
        <v>21</v>
      </c>
    </row>
    <row r="19" spans="2:12" ht="19.95" customHeight="1" x14ac:dyDescent="0.25">
      <c r="B19" s="4" t="s">
        <v>3</v>
      </c>
      <c r="C19" s="1" t="s">
        <v>22</v>
      </c>
      <c r="D19" s="1" t="s">
        <v>23</v>
      </c>
      <c r="H19" s="145"/>
      <c r="I19" s="145" t="s">
        <v>96</v>
      </c>
    </row>
    <row r="20" spans="2:12" x14ac:dyDescent="0.25">
      <c r="D20" s="1" t="s">
        <v>15</v>
      </c>
      <c r="E20" s="1" t="s">
        <v>24</v>
      </c>
      <c r="I20" s="1" t="s">
        <v>25</v>
      </c>
    </row>
    <row r="21" spans="2:12" x14ac:dyDescent="0.25">
      <c r="E21" s="1" t="s">
        <v>91</v>
      </c>
      <c r="I21" s="1" t="s">
        <v>92</v>
      </c>
    </row>
    <row r="22" spans="2:12" x14ac:dyDescent="0.25">
      <c r="D22" s="1" t="s">
        <v>18</v>
      </c>
      <c r="E22" s="1" t="s">
        <v>26</v>
      </c>
      <c r="I22" s="1" t="s">
        <v>94</v>
      </c>
    </row>
    <row r="23" spans="2:12" x14ac:dyDescent="0.25">
      <c r="D23" s="1" t="s">
        <v>27</v>
      </c>
      <c r="E23" s="1" t="s">
        <v>93</v>
      </c>
      <c r="I23" s="1" t="s">
        <v>95</v>
      </c>
    </row>
    <row r="24" spans="2:12" ht="19.95" customHeight="1" x14ac:dyDescent="0.25">
      <c r="B24" s="4" t="s">
        <v>3</v>
      </c>
      <c r="C24" s="1" t="s">
        <v>28</v>
      </c>
      <c r="D24" s="1" t="s">
        <v>83</v>
      </c>
    </row>
    <row r="25" spans="2:12" ht="19.95" customHeight="1" x14ac:dyDescent="0.25">
      <c r="B25" s="4" t="s">
        <v>3</v>
      </c>
      <c r="C25" s="1" t="s">
        <v>30</v>
      </c>
      <c r="D25" s="1" t="s">
        <v>29</v>
      </c>
    </row>
    <row r="26" spans="2:12" ht="19.95" customHeight="1" x14ac:dyDescent="0.25">
      <c r="B26" s="4" t="s">
        <v>3</v>
      </c>
      <c r="C26" s="1" t="s">
        <v>82</v>
      </c>
      <c r="D26" s="1" t="s">
        <v>15</v>
      </c>
      <c r="E26" s="1" t="s">
        <v>31</v>
      </c>
    </row>
    <row r="27" spans="2:12" x14ac:dyDescent="0.25">
      <c r="D27" s="1" t="s">
        <v>18</v>
      </c>
      <c r="E27" s="1" t="s">
        <v>32</v>
      </c>
    </row>
    <row r="28" spans="2:12" x14ac:dyDescent="0.25">
      <c r="E28" s="1" t="s">
        <v>33</v>
      </c>
    </row>
    <row r="29" spans="2:12" x14ac:dyDescent="0.25">
      <c r="E29" s="8" t="s">
        <v>34</v>
      </c>
    </row>
    <row r="30" spans="2:12" x14ac:dyDescent="0.25">
      <c r="D30" s="1" t="s">
        <v>27</v>
      </c>
      <c r="E30" s="1" t="s">
        <v>35</v>
      </c>
    </row>
    <row r="31" spans="2:12" x14ac:dyDescent="0.25">
      <c r="D31" s="1" t="s">
        <v>20</v>
      </c>
      <c r="E31" s="1" t="s">
        <v>36</v>
      </c>
      <c r="L31" s="9"/>
    </row>
    <row r="32" spans="2:12" x14ac:dyDescent="0.25">
      <c r="D32" s="1" t="s">
        <v>37</v>
      </c>
    </row>
    <row r="33" spans="2:5" ht="19.95" customHeight="1" x14ac:dyDescent="0.25">
      <c r="B33" s="4" t="s">
        <v>3</v>
      </c>
      <c r="C33" s="1" t="s">
        <v>38</v>
      </c>
      <c r="D33" s="1" t="s">
        <v>39</v>
      </c>
    </row>
    <row r="34" spans="2:5" x14ac:dyDescent="0.25">
      <c r="D34" s="1" t="s">
        <v>40</v>
      </c>
    </row>
    <row r="35" spans="2:5" ht="19.95" customHeight="1" x14ac:dyDescent="0.25">
      <c r="B35" s="4" t="s">
        <v>3</v>
      </c>
      <c r="C35" s="1" t="s">
        <v>41</v>
      </c>
      <c r="D35" s="8" t="s">
        <v>42</v>
      </c>
    </row>
    <row r="36" spans="2:5" x14ac:dyDescent="0.25">
      <c r="D36" s="1" t="s">
        <v>43</v>
      </c>
    </row>
    <row r="37" spans="2:5" x14ac:dyDescent="0.25">
      <c r="D37" s="10" t="s">
        <v>44</v>
      </c>
    </row>
    <row r="38" spans="2:5" x14ac:dyDescent="0.25">
      <c r="D38" s="1" t="s">
        <v>45</v>
      </c>
    </row>
    <row r="39" spans="2:5" ht="19.95" customHeight="1" x14ac:dyDescent="0.25">
      <c r="B39" s="4" t="s">
        <v>3</v>
      </c>
      <c r="C39" s="1" t="s">
        <v>46</v>
      </c>
      <c r="D39" s="10" t="s">
        <v>47</v>
      </c>
    </row>
    <row r="40" spans="2:5" x14ac:dyDescent="0.25">
      <c r="D40" s="1" t="s">
        <v>48</v>
      </c>
    </row>
    <row r="41" spans="2:5" x14ac:dyDescent="0.25">
      <c r="D41" s="1" t="s">
        <v>49</v>
      </c>
    </row>
    <row r="42" spans="2:5" x14ac:dyDescent="0.25">
      <c r="D42" s="1" t="s">
        <v>50</v>
      </c>
    </row>
    <row r="43" spans="2:5" ht="19.95" customHeight="1" x14ac:dyDescent="0.25">
      <c r="B43" s="4" t="s">
        <v>3</v>
      </c>
      <c r="C43" s="1" t="s">
        <v>88</v>
      </c>
      <c r="D43" s="10" t="s">
        <v>89</v>
      </c>
    </row>
    <row r="44" spans="2:5" ht="19.95" customHeight="1" x14ac:dyDescent="0.25">
      <c r="B44" s="4" t="s">
        <v>3</v>
      </c>
      <c r="C44" s="1" t="s">
        <v>51</v>
      </c>
      <c r="D44" s="1" t="s">
        <v>15</v>
      </c>
      <c r="E44" s="8" t="s">
        <v>52</v>
      </c>
    </row>
    <row r="45" spans="2:5" x14ac:dyDescent="0.25">
      <c r="D45" s="1" t="s">
        <v>18</v>
      </c>
      <c r="E45" s="10" t="s">
        <v>53</v>
      </c>
    </row>
    <row r="46" spans="2:5" x14ac:dyDescent="0.25">
      <c r="D46" s="1" t="s">
        <v>20</v>
      </c>
      <c r="E46" s="1" t="s">
        <v>54</v>
      </c>
    </row>
    <row r="47" spans="2:5" x14ac:dyDescent="0.25">
      <c r="D47" s="10" t="s">
        <v>108</v>
      </c>
    </row>
    <row r="48" spans="2:5" x14ac:dyDescent="0.25">
      <c r="D48" s="179" t="s">
        <v>109</v>
      </c>
    </row>
    <row r="49" spans="2:4" x14ac:dyDescent="0.25">
      <c r="B49" s="4" t="s">
        <v>3</v>
      </c>
      <c r="C49" s="1" t="s">
        <v>84</v>
      </c>
    </row>
    <row r="50" spans="2:4" ht="19.95" customHeight="1" x14ac:dyDescent="0.25">
      <c r="B50" s="4" t="s">
        <v>3</v>
      </c>
      <c r="C50" s="1" t="s">
        <v>98</v>
      </c>
      <c r="D50" s="10" t="s">
        <v>85</v>
      </c>
    </row>
    <row r="51" spans="2:4" ht="19.95" customHeight="1" x14ac:dyDescent="0.25">
      <c r="B51" s="4" t="s">
        <v>3</v>
      </c>
      <c r="C51" s="1" t="s">
        <v>86</v>
      </c>
      <c r="D51" s="10" t="s">
        <v>87</v>
      </c>
    </row>
    <row r="53" spans="2:4" ht="19.95" customHeight="1" x14ac:dyDescent="0.3">
      <c r="B53" s="11" t="s">
        <v>55</v>
      </c>
    </row>
    <row r="54" spans="2:4" ht="19.95" customHeight="1" x14ac:dyDescent="0.25">
      <c r="B54" s="4" t="s">
        <v>56</v>
      </c>
    </row>
    <row r="55" spans="2:4" x14ac:dyDescent="0.25">
      <c r="B55" s="1" t="s">
        <v>57</v>
      </c>
    </row>
    <row r="56" spans="2:4" x14ac:dyDescent="0.25">
      <c r="B56" s="1" t="s">
        <v>58</v>
      </c>
    </row>
    <row r="58" spans="2:4" x14ac:dyDescent="0.25">
      <c r="B58" s="4" t="s">
        <v>3</v>
      </c>
      <c r="C58" s="13" t="s">
        <v>59</v>
      </c>
      <c r="D58" s="1" t="s">
        <v>60</v>
      </c>
    </row>
    <row r="59" spans="2:4" x14ac:dyDescent="0.25">
      <c r="D59" s="10" t="s">
        <v>61</v>
      </c>
    </row>
    <row r="60" spans="2:4" x14ac:dyDescent="0.25">
      <c r="D60" s="10" t="s">
        <v>62</v>
      </c>
    </row>
    <row r="61" spans="2:4" ht="19.95" customHeight="1" x14ac:dyDescent="0.25">
      <c r="B61" s="4" t="s">
        <v>3</v>
      </c>
      <c r="C61" s="13" t="s">
        <v>63</v>
      </c>
      <c r="D61" s="1" t="s">
        <v>64</v>
      </c>
    </row>
    <row r="62" spans="2:4" x14ac:dyDescent="0.25">
      <c r="D62" s="10" t="s">
        <v>65</v>
      </c>
    </row>
    <row r="63" spans="2:4" x14ac:dyDescent="0.25">
      <c r="D63" s="10" t="s">
        <v>66</v>
      </c>
    </row>
    <row r="64" spans="2:4" ht="19.95" customHeight="1" x14ac:dyDescent="0.25">
      <c r="B64" s="4" t="s">
        <v>3</v>
      </c>
      <c r="C64" s="13" t="s">
        <v>10</v>
      </c>
      <c r="D64" s="1" t="s">
        <v>67</v>
      </c>
    </row>
    <row r="65" spans="2:4" x14ac:dyDescent="0.25">
      <c r="B65" s="12"/>
      <c r="C65" s="13"/>
      <c r="D65" s="13" t="s">
        <v>68</v>
      </c>
    </row>
    <row r="66" spans="2:4" ht="19.95" customHeight="1" x14ac:dyDescent="0.25">
      <c r="B66" s="4" t="s">
        <v>3</v>
      </c>
      <c r="C66" s="13" t="s">
        <v>12</v>
      </c>
      <c r="D66" s="1" t="s">
        <v>69</v>
      </c>
    </row>
    <row r="67" spans="2:4" ht="19.95" customHeight="1" x14ac:dyDescent="0.25">
      <c r="B67" s="4" t="s">
        <v>3</v>
      </c>
      <c r="C67" s="13" t="s">
        <v>28</v>
      </c>
      <c r="D67" s="1" t="s">
        <v>99</v>
      </c>
    </row>
    <row r="68" spans="2:4" x14ac:dyDescent="0.25">
      <c r="D68" s="10" t="s">
        <v>100</v>
      </c>
    </row>
    <row r="69" spans="2:4" ht="19.95" customHeight="1" x14ac:dyDescent="0.25">
      <c r="B69" s="4" t="s">
        <v>3</v>
      </c>
      <c r="C69" s="1" t="s">
        <v>70</v>
      </c>
      <c r="D69" t="s">
        <v>71</v>
      </c>
    </row>
    <row r="70" spans="2:4" x14ac:dyDescent="0.25">
      <c r="D70" s="1" t="s">
        <v>72</v>
      </c>
    </row>
    <row r="71" spans="2:4" x14ac:dyDescent="0.25">
      <c r="D71" s="1" t="s">
        <v>73</v>
      </c>
    </row>
    <row r="72" spans="2:4" x14ac:dyDescent="0.25">
      <c r="D72" s="1" t="s">
        <v>74</v>
      </c>
    </row>
    <row r="74" spans="2:4" ht="17.399999999999999" x14ac:dyDescent="0.3">
      <c r="B74" s="11"/>
    </row>
    <row r="75" spans="2:4" ht="19.95" customHeight="1" x14ac:dyDescent="0.25">
      <c r="B75" s="4"/>
    </row>
    <row r="76" spans="2:4" x14ac:dyDescent="0.25">
      <c r="B76" s="143"/>
    </row>
    <row r="77" spans="2:4" x14ac:dyDescent="0.25">
      <c r="B77" s="143"/>
    </row>
    <row r="78" spans="2:4" x14ac:dyDescent="0.25">
      <c r="B78" s="143"/>
    </row>
    <row r="79" spans="2:4" x14ac:dyDescent="0.25">
      <c r="B79" s="143"/>
    </row>
    <row r="80" spans="2:4" x14ac:dyDescent="0.25">
      <c r="B80" s="143"/>
    </row>
    <row r="82" spans="2:8" x14ac:dyDescent="0.25">
      <c r="B82" s="4"/>
    </row>
    <row r="83" spans="2:8" ht="19.95" customHeight="1" x14ac:dyDescent="0.25">
      <c r="B83" s="4"/>
      <c r="D83"/>
    </row>
    <row r="84" spans="2:8" x14ac:dyDescent="0.25">
      <c r="B84" s="4"/>
    </row>
    <row r="85" spans="2:8" x14ac:dyDescent="0.25">
      <c r="B85" s="4"/>
    </row>
    <row r="86" spans="2:8" ht="19.95" customHeight="1" x14ac:dyDescent="0.25">
      <c r="B86" s="4"/>
      <c r="D86"/>
    </row>
    <row r="87" spans="2:8" x14ac:dyDescent="0.25">
      <c r="B87" s="4"/>
    </row>
    <row r="88" spans="2:8" x14ac:dyDescent="0.25">
      <c r="B88" s="4"/>
    </row>
    <row r="89" spans="2:8" x14ac:dyDescent="0.25">
      <c r="D89" s="143"/>
    </row>
    <row r="90" spans="2:8" x14ac:dyDescent="0.25">
      <c r="D90" s="144"/>
      <c r="H90" s="179"/>
    </row>
    <row r="91" spans="2:8" x14ac:dyDescent="0.25">
      <c r="D91" s="143"/>
    </row>
    <row r="93" spans="2:8" x14ac:dyDescent="0.25">
      <c r="B93" s="166"/>
      <c r="C93" s="166"/>
      <c r="D93" s="166"/>
      <c r="E93" s="166"/>
    </row>
    <row r="94" spans="2:8" x14ac:dyDescent="0.25">
      <c r="B94" s="166"/>
      <c r="C94" s="166"/>
      <c r="D94" s="166"/>
      <c r="E94" s="166"/>
    </row>
    <row r="95" spans="2:8" x14ac:dyDescent="0.25">
      <c r="B95" s="166"/>
      <c r="C95" s="166"/>
      <c r="D95" s="167"/>
      <c r="E95" s="166"/>
    </row>
    <row r="96" spans="2:8" x14ac:dyDescent="0.25">
      <c r="B96" s="166"/>
      <c r="C96" s="166"/>
      <c r="D96" s="167"/>
      <c r="E96" s="166"/>
    </row>
  </sheetData>
  <phoneticPr fontId="0" type="noConversion"/>
  <printOptions gridLinesSet="0"/>
  <pageMargins left="0.72" right="0.28000000000000003" top="0.33" bottom="0.24" header="0.25" footer="0.24"/>
  <pageSetup paperSize="9" orientation="portrait" horizontalDpi="300" verticalDpi="300" r:id="rId1"/>
  <headerFooter alignWithMargins="0">
    <oddFooter>&amp;R&amp;"Arial,Standard"&amp;8WFZINSST.XLS;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0"/>
  </sheetPr>
  <dimension ref="A1:AB105"/>
  <sheetViews>
    <sheetView showGridLines="0" showZeros="0" showOutlineSymbols="0" topLeftCell="A6" zoomScale="120" workbookViewId="0">
      <selection activeCell="G28" sqref="G28"/>
    </sheetView>
  </sheetViews>
  <sheetFormatPr baseColWidth="10" defaultColWidth="1.19921875" defaultRowHeight="13.8" outlineLevelCol="1" x14ac:dyDescent="0.25"/>
  <cols>
    <col min="1" max="1" width="3.19921875" style="50" customWidth="1"/>
    <col min="2" max="2" width="3.8984375" style="50" customWidth="1"/>
    <col min="3" max="3" width="1.19921875" style="23" customWidth="1"/>
    <col min="4" max="4" width="17.19921875" style="49" customWidth="1"/>
    <col min="5" max="5" width="14" style="50" customWidth="1"/>
    <col min="6" max="6" width="1.59765625" style="51" customWidth="1"/>
    <col min="7" max="7" width="11.3984375" style="50" customWidth="1"/>
    <col min="8" max="8" width="7" style="50" customWidth="1"/>
    <col min="9" max="9" width="14.3984375" style="23" customWidth="1"/>
    <col min="10" max="10" width="5.69921875" style="23" customWidth="1"/>
    <col min="11" max="11" width="11.69921875" style="58" customWidth="1"/>
    <col min="12" max="12" width="12" style="58" customWidth="1"/>
    <col min="13" max="13" width="12" style="58" hidden="1" customWidth="1" outlineLevel="1"/>
    <col min="14" max="14" width="11" style="23" hidden="1" customWidth="1" outlineLevel="1"/>
    <col min="15" max="15" width="12.8984375" style="50" hidden="1" customWidth="1" outlineLevel="1"/>
    <col min="16" max="16" width="10.69921875" style="50" hidden="1" customWidth="1" outlineLevel="1"/>
    <col min="17" max="17" width="13.69921875" style="50" hidden="1" customWidth="1" outlineLevel="1"/>
    <col min="18" max="18" width="11" style="50" hidden="1" customWidth="1" outlineLevel="1"/>
    <col min="19" max="19" width="16.19921875" style="50" hidden="1" customWidth="1" outlineLevel="1"/>
    <col min="20" max="21" width="7.5" style="88" hidden="1" customWidth="1" outlineLevel="1"/>
    <col min="22" max="22" width="14" style="50" customWidth="1" collapsed="1"/>
    <col min="23" max="23" width="14.5" style="50" customWidth="1"/>
    <col min="24" max="24" width="15.19921875" customWidth="1"/>
    <col min="25" max="25" width="14" style="50" customWidth="1"/>
    <col min="26" max="26" width="8.09765625" style="50" customWidth="1"/>
    <col min="27" max="27" width="6.8984375" style="50" customWidth="1"/>
    <col min="28" max="250" width="11" style="50" customWidth="1"/>
    <col min="251" max="251" width="1.09765625" style="50" customWidth="1"/>
    <col min="252" max="252" width="28.69921875" style="50" customWidth="1"/>
    <col min="253" max="16384" width="1.19921875" style="50"/>
  </cols>
  <sheetData>
    <row r="1" spans="1:26" s="19" customFormat="1" x14ac:dyDescent="0.25">
      <c r="A1" s="14"/>
      <c r="B1" s="15"/>
      <c r="C1" s="16"/>
      <c r="D1" s="17"/>
      <c r="E1" s="17"/>
      <c r="F1" s="17"/>
      <c r="G1" s="17"/>
      <c r="H1" s="17"/>
      <c r="I1" s="17"/>
      <c r="J1" s="17"/>
      <c r="K1" s="18"/>
      <c r="L1" s="118"/>
      <c r="M1" s="20" t="str">
        <f>"Ergebnis per "&amp;TEXT(M9,"TT.MM.JJJ")</f>
        <v>Ergebnis per 31.12.2013</v>
      </c>
      <c r="Q1" s="21" t="e">
        <f>1/(1+I13/(100*I12))</f>
        <v>#DIV/0!</v>
      </c>
      <c r="S1" s="22"/>
      <c r="T1" s="158"/>
      <c r="U1" s="158"/>
      <c r="V1" s="22"/>
      <c r="W1" s="22"/>
      <c r="Y1" s="129"/>
      <c r="Z1" s="129"/>
    </row>
    <row r="2" spans="1:26" s="28" customFormat="1" x14ac:dyDescent="0.25">
      <c r="A2" s="23"/>
      <c r="B2" s="169"/>
      <c r="C2" s="24"/>
      <c r="D2" s="38"/>
      <c r="E2" s="174"/>
      <c r="F2" s="26"/>
      <c r="G2" s="24"/>
      <c r="H2" s="24"/>
      <c r="I2" s="24"/>
      <c r="J2" s="24"/>
      <c r="K2" s="27"/>
      <c r="L2" s="45"/>
      <c r="M2" s="29" t="str">
        <f>IF(COUNTIF(J23:J300,"&lt;0")&gt;0,"negative Tage ?        ","")&amp;IF(COUNTIF(H23:H300,"=0")&gt;0,"tatsächlich 0,00 % Zins ? Löschen mit Entf.         ","")&amp;IF(AND(A10=1,COUNTIF(F23:F300,"z")=0),"z in Spalte F eingeben ","")&amp;IF(AND(A10&lt;&gt;1,COUNTIF(F23:F300,"z")&gt;0),"z in Spalte F löschen (Optik) ","")&amp;IF(AND(E18&lt;&gt;"",I12&lt;&gt;1),"jährliche Abzinsung (Zelle i12 = 1) für internen Zinsfuß !","")</f>
        <v/>
      </c>
      <c r="Q2" s="28">
        <f>IF(A11=1,360,365)</f>
        <v>360</v>
      </c>
      <c r="S2"/>
      <c r="T2" s="159"/>
      <c r="U2" s="159"/>
      <c r="V2" s="30"/>
      <c r="W2"/>
      <c r="Y2" s="130"/>
      <c r="Z2" s="130"/>
    </row>
    <row r="3" spans="1:26" s="28" customFormat="1" x14ac:dyDescent="0.25">
      <c r="A3" s="23"/>
      <c r="B3" s="170"/>
      <c r="C3" s="24"/>
      <c r="D3" s="175"/>
      <c r="E3" s="174"/>
      <c r="F3" s="26"/>
      <c r="G3" s="33"/>
      <c r="H3" s="24"/>
      <c r="I3" s="173"/>
      <c r="J3" s="24"/>
      <c r="K3" s="25"/>
      <c r="L3" s="45"/>
      <c r="M3" s="31">
        <f>IF(OR(A14&gt;3,A14&lt;0),0,A14)</f>
        <v>0</v>
      </c>
      <c r="N3"/>
      <c r="T3" s="160"/>
      <c r="U3" s="160"/>
    </row>
    <row r="4" spans="1:26" s="28" customFormat="1" x14ac:dyDescent="0.25">
      <c r="A4" s="32"/>
      <c r="B4" s="171"/>
      <c r="C4" s="24"/>
      <c r="D4" s="41"/>
      <c r="E4" s="174"/>
      <c r="F4" s="26"/>
      <c r="G4" s="37"/>
      <c r="H4" s="34"/>
      <c r="I4" s="41"/>
      <c r="J4" s="24"/>
      <c r="K4" s="35"/>
      <c r="L4" s="45"/>
      <c r="M4" s="31">
        <f>COUNT(H24:H300)</f>
        <v>1</v>
      </c>
      <c r="N4" s="36"/>
      <c r="T4" s="160"/>
      <c r="U4" s="160"/>
    </row>
    <row r="5" spans="1:26" s="28" customFormat="1" x14ac:dyDescent="0.25">
      <c r="A5" s="23"/>
      <c r="B5" s="172"/>
      <c r="C5" s="24"/>
      <c r="D5" s="41"/>
      <c r="E5" s="174"/>
      <c r="F5" s="26"/>
      <c r="G5" s="38"/>
      <c r="H5" s="24"/>
      <c r="I5" s="24"/>
      <c r="J5" s="24"/>
      <c r="K5" s="38"/>
      <c r="L5" s="45"/>
      <c r="M5" s="39"/>
      <c r="T5" s="160"/>
      <c r="U5" s="160"/>
    </row>
    <row r="6" spans="1:26" s="28" customFormat="1" x14ac:dyDescent="0.25">
      <c r="A6" s="23"/>
      <c r="B6" s="24"/>
      <c r="C6" s="24"/>
      <c r="D6" s="41"/>
      <c r="E6" s="174"/>
      <c r="F6" s="26"/>
      <c r="G6" s="84"/>
      <c r="H6" s="24"/>
      <c r="I6" s="24"/>
      <c r="J6" s="24"/>
      <c r="K6" s="41"/>
      <c r="L6" s="45"/>
      <c r="M6" s="28">
        <f>IF(A11=3,36500,36000)</f>
        <v>36000</v>
      </c>
      <c r="T6" s="160"/>
      <c r="U6" s="160"/>
    </row>
    <row r="7" spans="1:26" s="28" customFormat="1" x14ac:dyDescent="0.25">
      <c r="A7" s="23"/>
      <c r="B7" s="24"/>
      <c r="C7" s="24"/>
      <c r="D7" s="131"/>
      <c r="E7" s="115"/>
      <c r="F7" s="26"/>
      <c r="G7" s="24"/>
      <c r="H7" s="24"/>
      <c r="I7" s="33"/>
      <c r="J7" s="24"/>
      <c r="K7" s="41"/>
      <c r="L7" s="45"/>
      <c r="M7" s="31">
        <f>IF(A11=1,360*(YEAR(M9)-YEAR(M8))+30*(MONTH(M9)-MONTH(M8))+IF(DAY(M9)&gt;DAY(M9+1),30,DAY(M9))-IF(DAY(M8)&gt;DAY(M8+1),30,DAY(M8)),M9-M8)+IF(J22=2,1,0)-N7</f>
        <v>139</v>
      </c>
      <c r="N7" s="152">
        <f>IF(AND(A11=1,A13=1),(M8&lt;&gt;M9)*((TEXT(M8,"MMTT")&gt;"022"&amp;CHOOSE((MOD(YEAR(M8),4)=0)+1,8,9))*((MOD(YEAR(M8),4)=0)-2)+(YEAR(M9)-YEAR(M8)+1)*2-MAX(0,DOLLAR((YEAR(M9)-YEAR(M8)+1-(MOD(YEAR(M8),4)&gt;0)*(4-MOD(YEAR(M8),4)))/4+0.49,0))+(TEXT(M9,"MMTT")&lt;"022"&amp;CHOOSE((MOD(YEAR(M9),4)=0)+1,8,9))*((MOD(YEAR(M9),4)=0)-2)-(MONTH(M8+1)=3)*(MONTH(M8)=2)*(30-DAY(M8))),0)</f>
        <v>0</v>
      </c>
      <c r="T7" s="160"/>
      <c r="U7" s="160"/>
    </row>
    <row r="8" spans="1:26" s="28" customFormat="1" x14ac:dyDescent="0.25">
      <c r="A8" s="23"/>
      <c r="C8" s="23"/>
      <c r="D8" s="43"/>
      <c r="F8" s="44"/>
      <c r="G8" s="150" t="str">
        <f>IF(OR(G9="",G9&gt;0),"","Löschen mit Entf - nicht mit 0")</f>
        <v/>
      </c>
      <c r="K8" s="45"/>
      <c r="L8" s="45"/>
      <c r="M8" s="46">
        <f>INDEX(G23:G500,M18)</f>
        <v>41498</v>
      </c>
      <c r="T8" s="160"/>
      <c r="U8" s="160"/>
      <c r="V8" s="30"/>
    </row>
    <row r="9" spans="1:26" ht="15.75" customHeight="1" x14ac:dyDescent="0.25">
      <c r="A9" s="47"/>
      <c r="B9" s="48" t="str">
        <f>IF(ISTEXT(A9),A9,IF(E18&lt;&gt;"","Bestimmung des internen Zinsfußes",IF(A9=1,"Bauzwischenfinanzierungskosten zum:  ",IF(N21=0,"","Z I N S ")&amp;"S T A F F E L - Abrechnung zum:  ")&amp;IF(G9="",TEXT(M9,"TT.MM.JJJ"),"")))</f>
        <v xml:space="preserve">Z I N S S T A F F E L - Abrechnung zum:  </v>
      </c>
      <c r="G9" s="52">
        <v>41639</v>
      </c>
      <c r="H9" s="53" t="str">
        <f>"("&amp;TEXT(SUM(J23:J300),"#.##0")&amp;" Tage"&amp;IF(M4=0,")",IF(M4=1," mit einer Zinssatzänderung)"," mit "&amp;M4&amp;" Zinssatzänderungen)"))</f>
        <v>(720 Tage mit einer Zinssatzänderung)</v>
      </c>
      <c r="K9" s="54"/>
      <c r="L9" s="119"/>
      <c r="M9" s="46">
        <f>IF(G9=0,M8,G9)</f>
        <v>41639</v>
      </c>
      <c r="N9"/>
    </row>
    <row r="10" spans="1:26" ht="17.25" customHeight="1" x14ac:dyDescent="0.25">
      <c r="A10" s="47">
        <v>2</v>
      </c>
      <c r="B10" s="23" t="str">
        <f>IF(N21=0,"",IF(A10=1,"mit Zinseszins bei z ",IF(A10&gt;1,"mit Zinseszins zu jedem Termin","ohne Zinseszins")))</f>
        <v>mit Zinseszins zu jedem Termin</v>
      </c>
      <c r="C10"/>
      <c r="D10" s="55"/>
      <c r="E10" s="23"/>
      <c r="F10" s="56"/>
      <c r="G10" s="116" t="str">
        <f>IF(AND(A14=2,I17=0,I14&lt;&gt;1,G9=0),"Für internen Zinsfuß (nachschüssig): Endtermin in Zelle G9 eingeben !","")</f>
        <v/>
      </c>
      <c r="H10" s="57"/>
      <c r="L10" s="82"/>
      <c r="M10"/>
      <c r="N10"/>
      <c r="V10" s="153"/>
      <c r="W10" s="153"/>
    </row>
    <row r="11" spans="1:26" x14ac:dyDescent="0.25">
      <c r="A11" s="47">
        <v>1</v>
      </c>
      <c r="B11" s="23" t="str">
        <f>IF(N21=0,"Tage: ","Zinstage: ")&amp;IF(AND(A11=1,A13&lt;&gt;1),"deutsch = 360 / 360 Tage",IF(AND(A11=1,A13=1),"US-amerikanisch = 360 / 360 Tage (Februar: genau)",IF(A11=3,"englisch = 365 / 365 Tage","Euro = 365 / 360 Tage")))</f>
        <v>Zinstage: deutsch = 360 / 360 Tage</v>
      </c>
      <c r="C11"/>
      <c r="D11" s="55"/>
      <c r="F11" s="56"/>
      <c r="G11" s="23"/>
      <c r="H11" s="59"/>
      <c r="I11" s="60" t="str">
        <f>IF(M3&gt;0,SUM(J23:J300)/Q2,"")</f>
        <v/>
      </c>
      <c r="J11" s="55" t="str">
        <f>IF(M3&gt;0,IF(I11=1," Jahr"," Jahre")&amp;" Abzinsung","")</f>
        <v/>
      </c>
      <c r="L11" s="120"/>
      <c r="M11" s="61"/>
      <c r="V11" s="153"/>
      <c r="W11" s="153"/>
    </row>
    <row r="12" spans="1:26" x14ac:dyDescent="0.25">
      <c r="A12" s="47"/>
      <c r="B12" s="23" t="str">
        <f>IF(N21=0,"",IF(A12=1,"vorschüssige Zinszahlung (Ersatzzinsfuß: "&amp;TEXT(N23,"0,0000")&amp;")","nachschüssige Zinszahlung"))</f>
        <v>nachschüssige Zinszahlung</v>
      </c>
      <c r="C12"/>
      <c r="D12" s="21"/>
      <c r="F12" s="21"/>
      <c r="H12" s="62" t="str">
        <f>IF(AND(M3=0,I12&gt;0),"löschen (Optik)",IF(AND(M3&gt;0,I12=0)," &gt; &gt; &gt; &gt;",""))</f>
        <v/>
      </c>
      <c r="I12" s="132"/>
      <c r="J12" s="63" t="str">
        <f>IF(M3&gt;0,IF(I12=-1," autom. Verrechnung",IF(I12=1," Verrechnung p.a."," Verrechnungen p.a.")),"")&amp;IF(AND(M3&gt;0,I12=0)," eingeben","")</f>
        <v/>
      </c>
      <c r="K12" s="180"/>
      <c r="L12"/>
      <c r="M12" s="42">
        <f>IF(I12=-1,360/(SUM(J23:J300)/MAX(B23:B300)),I12)</f>
        <v>0</v>
      </c>
    </row>
    <row r="13" spans="1:26" x14ac:dyDescent="0.25">
      <c r="A13" s="47"/>
      <c r="B13" s="50" t="str">
        <f>IF(AND(A11&gt;1,A13=1),"ohne Schalttag","")</f>
        <v/>
      </c>
      <c r="D13" s="21"/>
      <c r="F13" s="21"/>
      <c r="G13" s="28"/>
      <c r="H13" s="62" t="str">
        <f>IF(AND(M3=0,I13&lt;&gt;""),"löschen (Optik)",IF(AND(M3&gt;0,I13="")," &gt; &gt; &gt; &gt;",""))</f>
        <v/>
      </c>
      <c r="I13" s="37"/>
      <c r="J13" s="55" t="str">
        <f>IF(M3&gt;0," % Abzinsungssatz","")&amp;IF(AND(M3&gt;0,I13="")," eingeben","")</f>
        <v/>
      </c>
      <c r="K13" s="181"/>
      <c r="L13" s="120"/>
      <c r="M13" s="61"/>
    </row>
    <row r="14" spans="1:26" x14ac:dyDescent="0.25">
      <c r="A14" s="47"/>
      <c r="B14" s="64" t="str">
        <f>"Summe "&amp;IF(AND(A9=1,E18=""),"Tranchen","Zahlungen")</f>
        <v>Summe Zahlungen</v>
      </c>
      <c r="C14" s="64"/>
      <c r="D14" s="65"/>
      <c r="E14" s="66">
        <f>SUM(E23:E300)</f>
        <v>3056.1499999999996</v>
      </c>
      <c r="G14" s="28"/>
      <c r="H14" s="59"/>
      <c r="I14" s="67"/>
      <c r="J14" s="55" t="str">
        <f>IF(M3&gt;0,IF(I14=1," vorschüssig"," nachschüssig"),"")</f>
        <v/>
      </c>
      <c r="K14" s="45"/>
      <c r="L14" s="120"/>
      <c r="M14" s="117" t="str">
        <f>"B1:"&amp;IF(A10=1,"L","K")&amp;LOOKUP(2,1/(G1:G500&lt;&gt;0),ROW(1:500)+2)</f>
        <v>B1:K33</v>
      </c>
      <c r="N14" s="147" t="s">
        <v>97</v>
      </c>
    </row>
    <row r="15" spans="1:26" ht="15" customHeight="1" x14ac:dyDescent="0.25">
      <c r="B15" s="64" t="str">
        <f>IF(N21=0,"",IF(S19&gt;0,"Zinsen + Bereitstellung","Summe "&amp;IF(A9=1,"Bauzeitzinsen","Zinsen")))</f>
        <v>Summe Zinsen</v>
      </c>
      <c r="C15" s="64"/>
      <c r="D15" s="65"/>
      <c r="E15" s="68">
        <f>S20+S19</f>
        <v>249.79038818200002</v>
      </c>
      <c r="G15" s="168" t="str">
        <f>IF(A12=1,"vorschüssig","")</f>
        <v/>
      </c>
      <c r="H15" s="28"/>
      <c r="I15"/>
      <c r="J15" s="43"/>
      <c r="K15" s="45"/>
      <c r="L15" s="120"/>
      <c r="M15" s="117" t="s">
        <v>101</v>
      </c>
    </row>
    <row r="16" spans="1:26" ht="3.75" customHeight="1" x14ac:dyDescent="0.25">
      <c r="B16" s="64"/>
      <c r="C16" s="64"/>
      <c r="D16" s="65"/>
      <c r="E16" s="137" t="str">
        <f>IF(N21=0,"",REPT("_",LEN(E17+0.001)-IF(E17&lt;1000000,1,0)))</f>
        <v>_____________</v>
      </c>
      <c r="G16" s="135"/>
      <c r="H16" s="28"/>
      <c r="I16" s="45"/>
      <c r="J16" s="43"/>
      <c r="K16" s="45"/>
      <c r="L16" s="120"/>
      <c r="M16" s="61"/>
    </row>
    <row r="17" spans="1:28" ht="15.75" customHeight="1" x14ac:dyDescent="0.25">
      <c r="B17" s="48" t="str">
        <f>IF(N21=0,"",IF(A9=1,"Baukosten","Endkapital"))</f>
        <v>Endkapital</v>
      </c>
      <c r="D17" s="65"/>
      <c r="E17" s="134">
        <f>IF(N21=0,"",E14+E15)</f>
        <v>3305.9403881819999</v>
      </c>
      <c r="G17" s="28"/>
      <c r="H17"/>
      <c r="I17" s="69" t="str">
        <f>IF(I12=0,"",IF(AND(I12=-1,OR(M3=2,M3=3)),S23,IF(OR(M3=2,M3=3),ROUND(SUM(Q23:Q300),3),IF(M3=1,(E14+E15)*(1/(1+I13/(M12*100)))^(I11*M12),""))))</f>
        <v/>
      </c>
      <c r="J17" s="65" t="str">
        <f>IF(M3&gt;0," Barwert "&amp;IF(AND(A9&lt;&gt;1,A14=1),"des","der"),"")</f>
        <v/>
      </c>
      <c r="K17" s="45"/>
      <c r="L17" s="120"/>
      <c r="M17" s="61"/>
      <c r="S17" s="72"/>
    </row>
    <row r="18" spans="1:28" x14ac:dyDescent="0.25">
      <c r="B18" s="48" t="str">
        <f>IF(E18&lt;&gt;"","interner Zinsfuß","")</f>
        <v/>
      </c>
      <c r="E18" s="70" t="str">
        <f>IF(I17="","",IF(AND(M3=2,ROUND(I17,2)=0),ROUND(I13,3)&amp;" %",""))</f>
        <v/>
      </c>
      <c r="F18" s="49"/>
      <c r="G18" s="28"/>
      <c r="H18" s="28"/>
      <c r="I18" s="136" t="str">
        <f>IF(AND(A14=1,A10=0,A11=2,A13&lt;&gt;1,I12=-1,I13=H23,I14=1,M4=0),"(XKAPITALWERT - Microsoft)","")</f>
        <v/>
      </c>
      <c r="J18" s="65" t="str">
        <f>" "&amp;IF(M3=0,"",IF(M3=1,IF(A9=1,"Baukosten","Endkapitals"),IF(M3=2,IF(A9="","Zu- und Abflüsse",IF(A9=1,"Tranchen","Zahlungen")),IF(M3=3,IF(A9=1,"Bauzeitzinsen","Zinsen")))))</f>
        <v xml:space="preserve"> </v>
      </c>
      <c r="K18" s="30"/>
      <c r="L18" s="119"/>
      <c r="M18" s="71">
        <f>MAX(B23:B500)</f>
        <v>9</v>
      </c>
      <c r="N18" s="149"/>
      <c r="R18" s="151"/>
      <c r="S18" s="142"/>
      <c r="V18" s="155" t="str">
        <f>IF(V21&gt;0,V19-E17,"")</f>
        <v/>
      </c>
      <c r="W18" s="156" t="str">
        <f>IF(V$21=0,"","noch abrufbar")</f>
        <v/>
      </c>
    </row>
    <row r="19" spans="1:28" x14ac:dyDescent="0.25">
      <c r="A19" s="73"/>
      <c r="B19" s="133" t="str">
        <f>IF(OR(A14=0,I12=0),"",IF(AND(ROUND(I17,2)=0,I12=1,J22=0,J23&gt;0,OR(I14=1,G9&gt;0),E15=0),IF(AND(OR(J23=360,J23=365),MOD(MAX(P22:P100),J23)=0),"(entspricht IKV - Microsoft)",IF(AND(A11&lt;&gt;1,A13&lt;&gt;1),"(entspricht XINTZINSFUSS - Microsoft)","")),""))</f>
        <v/>
      </c>
      <c r="E19"/>
      <c r="G19" s="28"/>
      <c r="H19"/>
      <c r="I19" s="28"/>
      <c r="J19" s="28"/>
      <c r="K19" s="45"/>
      <c r="L19" s="117"/>
      <c r="M19" s="31">
        <f>IF(AND(MAX(G23:G500)=M9,J22&lt;2),2,0)</f>
        <v>0</v>
      </c>
      <c r="O19" s="51"/>
      <c r="P19" s="51"/>
      <c r="Q19" s="49"/>
      <c r="S19" s="163"/>
      <c r="V19" s="154"/>
      <c r="W19" s="65" t="str">
        <f>IF(V$21=0,"","Darlehen")</f>
        <v/>
      </c>
    </row>
    <row r="20" spans="1:28" ht="30" customHeight="1" x14ac:dyDescent="0.25">
      <c r="D20"/>
      <c r="E20" s="49"/>
      <c r="G20" s="28"/>
      <c r="H20" s="74"/>
      <c r="I20" s="28"/>
      <c r="J20" s="28"/>
      <c r="K20" s="45"/>
      <c r="L20" s="82"/>
      <c r="M20" s="75" t="str">
        <f>IF(OR(J22=1,J22=2),"!","")</f>
        <v>!</v>
      </c>
      <c r="S20" s="82">
        <f>SUM(K23:INDEX(K23:K400,M18))</f>
        <v>249.79038818200002</v>
      </c>
      <c r="U20" s="88">
        <f>IF(V20=0,Q2,V20)</f>
        <v>360</v>
      </c>
      <c r="V20" s="165"/>
      <c r="W20" s="65" t="str">
        <f>IF(V$21=0,"","Verzinsungen p.a.")</f>
        <v/>
      </c>
    </row>
    <row r="21" spans="1:28" s="23" customFormat="1" x14ac:dyDescent="0.25">
      <c r="B21" s="76" t="s">
        <v>75</v>
      </c>
      <c r="C21" s="56"/>
      <c r="D21" s="65" t="str">
        <f>IF(AND(A9=1,E18=""),"Tranchen",IF(COUNTIF(E23:E100,"&gt;0")=0,"Auszahlung",IF(COUNTIF(E23:E100,"&lt;0")&gt;0,"Aus / Einzahlung","Einzahlung")))</f>
        <v>Aus / Einzahlung</v>
      </c>
      <c r="E21" s="76" t="s">
        <v>76</v>
      </c>
      <c r="F21" s="76" t="str">
        <f>IF(A10=1,"Z","")</f>
        <v/>
      </c>
      <c r="G21" s="76" t="s">
        <v>77</v>
      </c>
      <c r="H21" s="76" t="s">
        <v>78</v>
      </c>
      <c r="I21" s="76" t="s">
        <v>79</v>
      </c>
      <c r="J21" s="76" t="s">
        <v>80</v>
      </c>
      <c r="K21" s="77" t="str">
        <f>IF(N21=0,"","Zinsen")</f>
        <v>Zinsen</v>
      </c>
      <c r="L21" s="77" t="str">
        <f>IF(A10=1,"kapitalisiert","")</f>
        <v/>
      </c>
      <c r="M21" s="78"/>
      <c r="N21" s="79">
        <f>SUM(N23:N300)</f>
        <v>208.5</v>
      </c>
      <c r="Q21" s="80"/>
      <c r="R21" s="23" t="s">
        <v>81</v>
      </c>
      <c r="T21" s="161"/>
      <c r="U21" s="161"/>
      <c r="V21" s="165"/>
      <c r="W21" s="65" t="str">
        <f>IF(V$21=0,"","Bereitstellung")</f>
        <v/>
      </c>
    </row>
    <row r="22" spans="1:28" ht="19.5" customHeight="1" x14ac:dyDescent="0.25">
      <c r="F22" s="81"/>
      <c r="G22" s="139" t="str">
        <f>IF(ISERROR(E17),"Ein Zahlenfeld enthält vermutlich TEXT (Leerzeichen) !","")&amp;IF(OR(G23=0,COUNTIF(B23:B500," ")&gt;0),"Keine Lücken !",IF(COUNTIF(G23:G500,"=0")&gt;0,"Termine löschen mit Entf (nicht mit 0) !",""))</f>
        <v/>
      </c>
      <c r="H22" s="182">
        <v>1.0000000000000001E-9</v>
      </c>
      <c r="J22" s="67">
        <v>2</v>
      </c>
      <c r="K22" s="67">
        <v>9</v>
      </c>
      <c r="L22" s="121"/>
      <c r="P22" s="79">
        <v>0</v>
      </c>
      <c r="Q22" s="82"/>
      <c r="R22" s="50" t="s">
        <v>90</v>
      </c>
      <c r="U22" s="50"/>
      <c r="V22" s="140" t="str">
        <f>IF(V21=0,"","auf     ab:")</f>
        <v/>
      </c>
      <c r="W22" s="141"/>
    </row>
    <row r="23" spans="1:28" x14ac:dyDescent="0.25">
      <c r="B23" s="23">
        <f>IF(AND(G23="",G24&gt;0)," ",IF(G23="",0,MAX(B$22:B22)+1))</f>
        <v>1</v>
      </c>
      <c r="C23" s="83"/>
      <c r="D23" s="183" t="s">
        <v>110</v>
      </c>
      <c r="E23" s="184">
        <v>5000</v>
      </c>
      <c r="F23" s="185"/>
      <c r="G23" s="186">
        <v>40909</v>
      </c>
      <c r="H23" s="187">
        <v>2.75</v>
      </c>
      <c r="I23" s="86">
        <f>E23</f>
        <v>5000</v>
      </c>
      <c r="J23" s="87">
        <f>IF(B24=0,M$7,IF(A$11=1,360*(YEAR(G24)-YEAR(G23))+30*(MONTH(G24)-MONTH(G23))+IF(DAY(G24)&gt;DAY(G24+1),30,DAY(G24))-IF(DAY(G23)&gt;DAY(G23+1),30,DAY(G23)),G24-G23))-R23+IF(J22=1,1,0)</f>
        <v>76</v>
      </c>
      <c r="K23" s="86">
        <f>ROUND(I23*N23*J23/M$6,K$22)</f>
        <v>29.027777778000001</v>
      </c>
      <c r="L23" s="58">
        <f>IF(AND(A10=1,F24="z"),M23,0)</f>
        <v>0</v>
      </c>
      <c r="M23" s="23">
        <f>K23</f>
        <v>29.027777778000001</v>
      </c>
      <c r="N23" s="79">
        <f>LOOKUP(2,1/(H$22:H23&lt;&gt;""),H$22:H23)*IF(A$12=1,(1+LOOKUP(2,1/(H$22:H23&lt;&gt;""),H$22:H23)*J23/M$6),1)</f>
        <v>2.75</v>
      </c>
      <c r="O23" s="50">
        <f>IF(B23=0,0,IF(M$3=3,0,E23)+IF(A$10=1,L23,K23))</f>
        <v>5029.0277777780002</v>
      </c>
      <c r="P23" s="87">
        <f>J23</f>
        <v>76</v>
      </c>
      <c r="Q23" s="82" t="e">
        <f>ROUND(O23*Q$1^(IF(I$14=1,P22,P23)*I$12/Q$2),K$22)</f>
        <v>#DIV/0!</v>
      </c>
      <c r="R23" s="88">
        <f>IF(OR(G24=0,A$13&lt;&gt;1,MONTH(G23+1)=3),0,(G23&lt;&gt;G24)*((TEXT(G23,"MMTT")&gt;"022"&amp;CHOOSE((MOD(YEAR(G23),4)=0)+1,8,9))*((MOD(YEAR(G23),4)=0)-2)+(YEAR(G24)-YEAR(G23)+1)*2-MAX(0,DOLLAR((YEAR(G24)-YEAR(G23)+1-(MOD(YEAR(G23),4)&gt;0)*(4-MOD(YEAR(G23),4)))/4+0.49,0))+(TEXT(G24,"MMTT")&lt;"022"&amp;CHOOSE((MOD(YEAR(G24),4)=0)+1,8,9))*((MOD(YEAR(G24),4)=0)-2)-(MONTH(G23+1)=3)*(MONTH(G23)=2)*(30-DAY(G23))))</f>
        <v>0</v>
      </c>
      <c r="S23" s="148">
        <f t="shared" ref="S23:S54" si="0">IF(I$14=1,O23+S24/IF(J23=0,1,(1+I$13/(Q$2*100/J23))),(O23+S24)/IF(J23=0,1,(1+I$13/(Q$2*100/J23))))</f>
        <v>3305.9403881820008</v>
      </c>
      <c r="T23" s="88">
        <f>IF(T24&gt;0,J23,IF(OR(W$22-G23&lt;=0,G23=0),0,IF(A11=1,DAYS360(G23,W$22),W$22-G23)))</f>
        <v>0</v>
      </c>
      <c r="U23" s="87">
        <f>IF(B23=0,0,V23*(J23-T23)*V$21/M$6)</f>
        <v>0</v>
      </c>
      <c r="V23" s="86">
        <f>IF(OR(V19=0,V21=0),0,2*(V$19-I23)-(V$19-I23)*((1+N23/(U$20*100))^(U$20*(SUM(J23:J$200)-T23)/Q$2)))</f>
        <v>0</v>
      </c>
      <c r="W23" s="86">
        <f>IF(B21=M$18,S$19,IF(B23=0,0,V23*(J23-T23)*V$21/M$6))</f>
        <v>0</v>
      </c>
      <c r="X23" s="86"/>
      <c r="Y23" s="86"/>
      <c r="Z23" s="87"/>
      <c r="AA23" s="87"/>
      <c r="AB23" s="146"/>
    </row>
    <row r="24" spans="1:28" x14ac:dyDescent="0.25">
      <c r="B24" s="23">
        <f>IF(AND(G24="",G25&gt;0)," ",IF(G24="",0,MAX(B$22:B23)+1))</f>
        <v>2</v>
      </c>
      <c r="C24" s="83"/>
      <c r="D24" s="183" t="s">
        <v>111</v>
      </c>
      <c r="E24" s="184">
        <v>485</v>
      </c>
      <c r="F24" s="185"/>
      <c r="G24" s="186">
        <v>40985</v>
      </c>
      <c r="H24" s="187"/>
      <c r="I24" s="86">
        <f>IF(B24=0,0,I23+E24+IF(A$10&gt;1,K23,L23)+W23)</f>
        <v>5514.0277777780002</v>
      </c>
      <c r="J24" s="87">
        <f t="shared" ref="J24:J55" si="1">IF(B24=0,0,IF(B25=0,M$7,IF(A$11=1,360*(YEAR(G25)-YEAR(G24))+30*(MONTH(G25)-MONTH(G24))+IF(DAY(G25)&gt;DAY(G25+1),30,DAY(G25))-IF(DAY(G24)&gt;DAY(G24+1),30,DAY(G24)),G25-G24))-R24)</f>
        <v>117</v>
      </c>
      <c r="K24" s="86">
        <f>IF(B22=M$18,S$20,IF(B24=0,0,ROUND(I24*N24*J24/M$6,K$22)))</f>
        <v>49.281623263999997</v>
      </c>
      <c r="L24" s="58">
        <f t="shared" ref="L24:L35" si="2">IF(B24=0,0,IF(AND(A$10=1,OR(B25=0,F25="z",AND(G26=0,G$9=0))),M24,0))</f>
        <v>0</v>
      </c>
      <c r="M24" s="23">
        <f t="shared" ref="M24:M55" si="3">M23+K24-L23</f>
        <v>78.30940104199999</v>
      </c>
      <c r="N24" s="79">
        <f>LOOKUP(2,1/(H$22:H24&lt;&gt;""),H$22:H24)*IF(A$12=1,(1+LOOKUP(2,1/(H$22:H24&lt;&gt;""),H$22:H24)*J24/M$6),1)</f>
        <v>2.75</v>
      </c>
      <c r="O24" s="50">
        <f>IF(B24=0,0,IF(M$3=3,0,E24)+IF(A$10=1,L24,K24))</f>
        <v>534.28162326400002</v>
      </c>
      <c r="P24" s="87">
        <f t="shared" ref="P24:P44" si="4">P23+J24</f>
        <v>193</v>
      </c>
      <c r="Q24" s="82" t="e">
        <f t="shared" ref="Q24:Q87" si="5">ROUND(O24*Q$1^(IF(I$14=1,P23,P24)*I$12/Q$2),K$22)</f>
        <v>#DIV/0!</v>
      </c>
      <c r="R24" s="88">
        <f t="shared" ref="R24:R87" si="6">IF(OR(G25=0,A$13&lt;&gt;1,MONTH(G24+1)=3),0,(G24&lt;&gt;G25)*((TEXT(G24,"MMTT")&gt;"022"&amp;CHOOSE((MOD(YEAR(G24),4)=0)+1,8,9))*((MOD(YEAR(G24),4)=0)-2)+(YEAR(G25)-YEAR(G24)+1)*2-MAX(0,DOLLAR((YEAR(G25)-YEAR(G24)+1-(MOD(YEAR(G24),4)&gt;0)*(4-MOD(YEAR(G24),4)))/4+0.49,0))+(TEXT(G25,"MMTT")&lt;"022"&amp;CHOOSE((MOD(YEAR(G25),4)=0)+1,8,9))*((MOD(YEAR(G25),4)=0)-2)-(MONTH(G24+1)=3)*(MONTH(G24)=2)*(30-DAY(G24))))</f>
        <v>0</v>
      </c>
      <c r="S24" s="148">
        <f t="shared" si="0"/>
        <v>-1723.0873895959992</v>
      </c>
      <c r="T24" s="88">
        <f>IF(T25&gt;0,J24,IF(OR(W$22-G24&lt;=0,G24=0),0,IF(A$11=1,DAYS360(G24,W$22),W$22-G24)))</f>
        <v>0</v>
      </c>
      <c r="U24" s="87">
        <f t="shared" ref="U24:U87" si="7">IF(B24=0,0,V24*(J24-T24)*V$21/M$6)</f>
        <v>0</v>
      </c>
      <c r="V24" s="86">
        <f>IF(OR(V$19=0,V$21=0,B24=0),0,2*(V$19-I24)-(V$19-I24)*((1+N24/(U$20*100))^(U$20*(SUM(J24:J$200)-T24)/Q$2)))</f>
        <v>0</v>
      </c>
      <c r="W24" s="86">
        <f>IF(B22=M$18,S$19,IF(B24=0,0,IF(A$10=1,IF(F25="z",SUM(U$23:U24)-SUM(W$23:W23),0),U24)))</f>
        <v>0</v>
      </c>
      <c r="X24" s="86"/>
      <c r="Y24" s="86"/>
      <c r="Z24" s="87"/>
      <c r="AA24" s="87"/>
      <c r="AB24" s="146"/>
    </row>
    <row r="25" spans="1:28" x14ac:dyDescent="0.25">
      <c r="B25" s="23">
        <f>IF(AND(G25="",G26&gt;0)," ",IF(G25="",0,MAX(B$22:B24)+1))</f>
        <v>3</v>
      </c>
      <c r="C25" s="83">
        <f t="shared" ref="C25:C56" si="8">IF(AND(B25=0,I25&lt;&gt;0,I25=E$17),M$1,0)</f>
        <v>0</v>
      </c>
      <c r="D25" s="183" t="s">
        <v>112</v>
      </c>
      <c r="E25" s="184">
        <v>700</v>
      </c>
      <c r="F25" s="185"/>
      <c r="G25" s="186">
        <v>41104</v>
      </c>
      <c r="H25" s="187"/>
      <c r="I25" s="86">
        <f>IF(B25=0,0,I24+E25+IF(A$10&gt;1,K24,L24)+W24)</f>
        <v>6263.309401042</v>
      </c>
      <c r="J25" s="87">
        <f t="shared" si="1"/>
        <v>80</v>
      </c>
      <c r="K25" s="86">
        <f t="shared" ref="K25:K88" si="9">IF(B23=M$18,S$20,IF(B25=0,0,ROUND(I25*N25*J25/M$6,K$22)))</f>
        <v>38.275779673000002</v>
      </c>
      <c r="L25" s="58">
        <f t="shared" si="2"/>
        <v>0</v>
      </c>
      <c r="M25" s="23">
        <f t="shared" si="3"/>
        <v>116.58518071499999</v>
      </c>
      <c r="N25" s="79">
        <f>LOOKUP(2,1/(H$22:H25&lt;&gt;""),H$22:H25)*IF(A$12=1,(1+LOOKUP(2,1/(H$22:H25&lt;&gt;""),H$22:H25)*J25/M$6),1)</f>
        <v>2.75</v>
      </c>
      <c r="O25" s="50">
        <f t="shared" ref="O25:O40" si="10">IF(B25=0,0,IF(M$3=3,0,E25)+IF(A$10=1,L25,K25))</f>
        <v>738.27577967299999</v>
      </c>
      <c r="P25" s="87">
        <f t="shared" si="4"/>
        <v>273</v>
      </c>
      <c r="Q25" s="82" t="e">
        <f t="shared" si="5"/>
        <v>#DIV/0!</v>
      </c>
      <c r="R25" s="88">
        <f t="shared" si="6"/>
        <v>0</v>
      </c>
      <c r="S25" s="148">
        <f t="shared" si="0"/>
        <v>-2257.3690128599992</v>
      </c>
      <c r="T25" s="88">
        <f t="shared" ref="T25:T88" si="11">IF(T26&gt;0,J25,IF(OR(W$22-G25&lt;=0,G25=0),0,IF(A$11=1,DAYS360(G25,W$22),W$22-G25)))</f>
        <v>0</v>
      </c>
      <c r="U25" s="87">
        <f t="shared" si="7"/>
        <v>0</v>
      </c>
      <c r="V25" s="86">
        <f>IF(OR(V$19=0,V$21=0,B25=0),0,2*(V$19-I25)-(V$19-I25)*((1+N25/(U$20*100))^(U$20*(SUM(J25:J$200)-T25)/Q$2)))</f>
        <v>0</v>
      </c>
      <c r="W25" s="86">
        <f>IF(B23=M$18,S$19,IF(B25=0,0,IF(A$10=1,IF(F26="z",SUM(U$23:U25)-SUM(W$23:W24),0),U25)))</f>
        <v>0</v>
      </c>
      <c r="X25" s="86"/>
      <c r="Y25" s="86"/>
      <c r="Z25" s="87"/>
      <c r="AA25" s="87"/>
      <c r="AB25" s="146"/>
    </row>
    <row r="26" spans="1:28" x14ac:dyDescent="0.25">
      <c r="B26" s="23">
        <f>IF(AND(G26="",G27&gt;0)," ",IF(G26="",0,MAX(B$22:B25)+1))</f>
        <v>4</v>
      </c>
      <c r="C26" s="83">
        <f t="shared" si="8"/>
        <v>0</v>
      </c>
      <c r="D26" s="183"/>
      <c r="E26" s="184">
        <v>-2500</v>
      </c>
      <c r="F26" s="185"/>
      <c r="G26" s="186">
        <v>41186</v>
      </c>
      <c r="H26" s="187"/>
      <c r="I26" s="86">
        <f>IF(B26=0,0,I25+E26+IF(A$10&gt;1,K25,L25)+W25)</f>
        <v>3801.5851807150002</v>
      </c>
      <c r="J26" s="87">
        <f t="shared" si="1"/>
        <v>87</v>
      </c>
      <c r="K26" s="86">
        <f t="shared" si="9"/>
        <v>25.264701513999999</v>
      </c>
      <c r="L26" s="58">
        <f t="shared" si="2"/>
        <v>0</v>
      </c>
      <c r="M26" s="23">
        <f t="shared" si="3"/>
        <v>141.849882229</v>
      </c>
      <c r="N26" s="79">
        <f>LOOKUP(2,1/(H$22:H26&lt;&gt;""),H$22:H26)*IF(A$12=1,(1+LOOKUP(2,1/(H$22:H26&lt;&gt;""),H$22:H26)*J26/M$6),1)</f>
        <v>2.75</v>
      </c>
      <c r="O26" s="50">
        <f t="shared" si="10"/>
        <v>-2474.7352984859999</v>
      </c>
      <c r="P26" s="87">
        <f t="shared" si="4"/>
        <v>360</v>
      </c>
      <c r="Q26" s="82" t="e">
        <f t="shared" si="5"/>
        <v>#DIV/0!</v>
      </c>
      <c r="R26" s="88">
        <f t="shared" si="6"/>
        <v>0</v>
      </c>
      <c r="S26" s="148">
        <f t="shared" si="0"/>
        <v>-2995.6447925329994</v>
      </c>
      <c r="T26" s="88">
        <f t="shared" si="11"/>
        <v>0</v>
      </c>
      <c r="U26" s="87">
        <f t="shared" si="7"/>
        <v>0</v>
      </c>
      <c r="V26" s="86">
        <f>IF(OR(V$19=0,V$21=0,B26=0),0,2*(V$19-I26)-(V$19-I26)*((1+N26/(U$20*100))^(U$20*(SUM(J26:J$200)-T26)/Q$2)))</f>
        <v>0</v>
      </c>
      <c r="W26" s="86">
        <f>IF(B24=M$18,S$19,IF(B26=0,0,IF(A$10=1,IF(F27="z",SUM(U$23:U26)-SUM(W$23:W25),0),U26)))</f>
        <v>0</v>
      </c>
      <c r="X26" s="86"/>
      <c r="Y26" s="86"/>
      <c r="Z26" s="162"/>
      <c r="AA26" s="87"/>
      <c r="AB26" s="146"/>
    </row>
    <row r="27" spans="1:28" x14ac:dyDescent="0.25">
      <c r="B27" s="23">
        <f>IF(AND(G27="",G28&gt;0)," ",IF(G27="",0,MAX(B$22:B26)+1))</f>
        <v>5</v>
      </c>
      <c r="C27" s="83">
        <f t="shared" si="8"/>
        <v>0</v>
      </c>
      <c r="D27" s="183"/>
      <c r="E27" s="184"/>
      <c r="F27" s="185"/>
      <c r="G27" s="186">
        <v>41275</v>
      </c>
      <c r="H27" s="187">
        <v>2.5</v>
      </c>
      <c r="I27" s="86">
        <f t="shared" ref="I27:I90" si="12">IF(B27=0,0,I26+E27+IF(A$10&gt;1,K26,L26)+W26)</f>
        <v>3826.8498822290003</v>
      </c>
      <c r="J27" s="87">
        <f t="shared" si="1"/>
        <v>16</v>
      </c>
      <c r="K27" s="86">
        <f t="shared" si="9"/>
        <v>4.252055425</v>
      </c>
      <c r="L27" s="58">
        <f t="shared" si="2"/>
        <v>0</v>
      </c>
      <c r="M27" s="23">
        <f t="shared" si="3"/>
        <v>146.10193765400001</v>
      </c>
      <c r="N27" s="79">
        <f>LOOKUP(2,1/(H$22:H27&lt;&gt;""),H$22:H27)*IF(A$12=1,(1+LOOKUP(2,1/(H$22:H27&lt;&gt;""),H$22:H27)*J27/M$6),1)</f>
        <v>2.5</v>
      </c>
      <c r="O27" s="50">
        <f t="shared" si="10"/>
        <v>4.252055425</v>
      </c>
      <c r="P27" s="87">
        <f t="shared" si="4"/>
        <v>376</v>
      </c>
      <c r="Q27" s="82" t="e">
        <f t="shared" si="5"/>
        <v>#DIV/0!</v>
      </c>
      <c r="R27" s="88">
        <f t="shared" si="6"/>
        <v>0</v>
      </c>
      <c r="S27" s="148">
        <f t="shared" si="0"/>
        <v>-520.90949404699973</v>
      </c>
      <c r="T27" s="88">
        <f t="shared" si="11"/>
        <v>0</v>
      </c>
      <c r="U27" s="87">
        <f t="shared" si="7"/>
        <v>0</v>
      </c>
      <c r="V27" s="86">
        <f>IF(OR(V$19=0,V$21=0,B27=0),0,2*(V$19-I27)-(V$19-I27)*((1+N27/(U$20*100))^(U$20*(SUM(J27:J$200)-T27)/Q$2)))</f>
        <v>0</v>
      </c>
      <c r="W27" s="86">
        <f>IF(B25=M$18,S$19,IF(B27=0,0,IF(A$10=1,IF(F28="z",SUM(U$23:U27)-SUM(W$23:W26),0),U27)))</f>
        <v>0</v>
      </c>
      <c r="X27" s="86"/>
      <c r="Y27" s="86"/>
      <c r="Z27" s="87"/>
      <c r="AA27" s="87"/>
    </row>
    <row r="28" spans="1:28" x14ac:dyDescent="0.25">
      <c r="B28" s="23">
        <f>IF(AND(G28="",G29&gt;0)," ",IF(G28="",0,MAX(B$22:B27)+1))</f>
        <v>6</v>
      </c>
      <c r="C28" s="83">
        <f t="shared" si="8"/>
        <v>0</v>
      </c>
      <c r="D28" s="183"/>
      <c r="E28" s="184">
        <v>921.15</v>
      </c>
      <c r="F28" s="185"/>
      <c r="G28" s="186">
        <v>41291</v>
      </c>
      <c r="H28" s="187"/>
      <c r="I28" s="86">
        <f t="shared" si="12"/>
        <v>4752.2519376540004</v>
      </c>
      <c r="J28" s="87">
        <f t="shared" si="1"/>
        <v>37</v>
      </c>
      <c r="K28" s="86">
        <f t="shared" si="9"/>
        <v>12.21064734</v>
      </c>
      <c r="L28" s="58">
        <f t="shared" si="2"/>
        <v>0</v>
      </c>
      <c r="M28" s="23">
        <f t="shared" si="3"/>
        <v>158.31258499400002</v>
      </c>
      <c r="N28" s="79">
        <f>LOOKUP(2,1/(H$22:H28&lt;&gt;""),H$22:H28)*IF(A$12=1,(1+LOOKUP(2,1/(H$22:H28&lt;&gt;""),H$22:H28)*J28/M$6),1)</f>
        <v>2.5</v>
      </c>
      <c r="O28" s="50">
        <f t="shared" si="10"/>
        <v>933.36064734000001</v>
      </c>
      <c r="P28" s="87">
        <f t="shared" si="4"/>
        <v>413</v>
      </c>
      <c r="Q28" s="82" t="e">
        <f t="shared" si="5"/>
        <v>#DIV/0!</v>
      </c>
      <c r="R28" s="88">
        <f t="shared" si="6"/>
        <v>0</v>
      </c>
      <c r="S28" s="148">
        <f t="shared" si="0"/>
        <v>-525.16154947199971</v>
      </c>
      <c r="T28" s="88">
        <f t="shared" si="11"/>
        <v>0</v>
      </c>
      <c r="U28" s="87">
        <f t="shared" si="7"/>
        <v>0</v>
      </c>
      <c r="V28" s="86">
        <f>IF(OR(V$19=0,V$21=0,B28=0),0,2*(V$19-I28)-(V$19-I28)*((1+N28/(U$20*100))^(U$20*(SUM(J28:J$200)-T28)/Q$2)))</f>
        <v>0</v>
      </c>
      <c r="W28" s="86">
        <f>IF(B26=M$18,S$19,IF(B28=0,0,IF(A$10=1,IF(F29="z",SUM(U$23:U28)-SUM(W$23:W27),0),U28)))</f>
        <v>0</v>
      </c>
      <c r="X28" s="86"/>
      <c r="Y28" s="86"/>
      <c r="Z28" s="87"/>
      <c r="AA28" s="87"/>
    </row>
    <row r="29" spans="1:28" x14ac:dyDescent="0.25">
      <c r="B29" s="23">
        <f>IF(AND(G29="",G30&gt;0)," ",IF(G29="",0,MAX(B$22:B28)+1))</f>
        <v>7</v>
      </c>
      <c r="C29" s="83">
        <f t="shared" si="8"/>
        <v>0</v>
      </c>
      <c r="D29" s="183"/>
      <c r="E29" s="184">
        <v>600</v>
      </c>
      <c r="F29" s="185"/>
      <c r="G29" s="186">
        <v>41329</v>
      </c>
      <c r="H29" s="187"/>
      <c r="I29" s="86">
        <f t="shared" si="12"/>
        <v>5364.4625849940003</v>
      </c>
      <c r="J29" s="87">
        <f t="shared" si="1"/>
        <v>141</v>
      </c>
      <c r="K29" s="86">
        <f t="shared" si="9"/>
        <v>52.527029478000003</v>
      </c>
      <c r="L29" s="58">
        <f t="shared" si="2"/>
        <v>0</v>
      </c>
      <c r="M29" s="23">
        <f t="shared" si="3"/>
        <v>210.83961447200002</v>
      </c>
      <c r="N29" s="79">
        <f>LOOKUP(2,1/(H$22:H29&lt;&gt;""),H$22:H29)*IF(A$12=1,(1+LOOKUP(2,1/(H$22:H29&lt;&gt;""),H$22:H29)*J29/M$6),1)</f>
        <v>2.5</v>
      </c>
      <c r="O29" s="50">
        <f t="shared" si="10"/>
        <v>652.52702947800003</v>
      </c>
      <c r="P29" s="87">
        <f t="shared" si="4"/>
        <v>554</v>
      </c>
      <c r="Q29" s="82" t="e">
        <f t="shared" si="5"/>
        <v>#DIV/0!</v>
      </c>
      <c r="R29" s="88">
        <f t="shared" si="6"/>
        <v>0</v>
      </c>
      <c r="S29" s="148">
        <f t="shared" si="0"/>
        <v>-1458.5221968119997</v>
      </c>
      <c r="T29" s="88">
        <f t="shared" si="11"/>
        <v>0</v>
      </c>
      <c r="U29" s="87">
        <f t="shared" si="7"/>
        <v>0</v>
      </c>
      <c r="V29" s="86">
        <f>IF(OR(V$19=0,V$21=0,B29=0),0,2*(V$19-I29)-(V$19-I29)*((1+N29/(U$20*100))^(U$20*(SUM(J29:J$200)-T29)/Q$2)))</f>
        <v>0</v>
      </c>
      <c r="W29" s="86">
        <f>IF(B27=M$18,S$19,IF(B29=0,0,IF(A$10=1,IF(F30="z",SUM(U$23:U29)-SUM(W$23:W28),0),U29)))</f>
        <v>0</v>
      </c>
      <c r="X29" s="86"/>
      <c r="Y29" s="86"/>
      <c r="Z29" s="87"/>
      <c r="AA29" s="87"/>
    </row>
    <row r="30" spans="1:28" x14ac:dyDescent="0.25">
      <c r="B30" s="23">
        <f>IF(AND(G30="",G31&gt;0)," ",IF(G30="",0,MAX(B$22:B29)+1))</f>
        <v>8</v>
      </c>
      <c r="C30" s="83">
        <f t="shared" si="8"/>
        <v>0</v>
      </c>
      <c r="D30" s="183"/>
      <c r="E30" s="184">
        <v>-1500</v>
      </c>
      <c r="F30" s="185"/>
      <c r="G30" s="186">
        <v>41470</v>
      </c>
      <c r="H30" s="187"/>
      <c r="I30" s="86">
        <f t="shared" si="12"/>
        <v>3916.9896144720001</v>
      </c>
      <c r="J30" s="87">
        <f t="shared" si="1"/>
        <v>27</v>
      </c>
      <c r="K30" s="86">
        <f t="shared" si="9"/>
        <v>7.3443555270000003</v>
      </c>
      <c r="L30" s="58">
        <f t="shared" si="2"/>
        <v>0</v>
      </c>
      <c r="M30" s="23">
        <f t="shared" si="3"/>
        <v>218.18396999900003</v>
      </c>
      <c r="N30" s="79">
        <f>LOOKUP(2,1/(H$22:H30&lt;&gt;""),H$22:H30)*IF(A$12=1,(1+LOOKUP(2,1/(H$22:H30&lt;&gt;""),H$22:H30)*J30/M$6),1)</f>
        <v>2.5</v>
      </c>
      <c r="O30" s="50">
        <f t="shared" si="10"/>
        <v>-1492.6556444729999</v>
      </c>
      <c r="P30" s="87">
        <f t="shared" si="4"/>
        <v>581</v>
      </c>
      <c r="Q30" s="82" t="e">
        <f t="shared" si="5"/>
        <v>#DIV/0!</v>
      </c>
      <c r="R30" s="88">
        <f t="shared" si="6"/>
        <v>0</v>
      </c>
      <c r="S30" s="148">
        <f t="shared" si="0"/>
        <v>-2111.0492262899998</v>
      </c>
      <c r="T30" s="88">
        <f t="shared" si="11"/>
        <v>0</v>
      </c>
      <c r="U30" s="87">
        <f t="shared" si="7"/>
        <v>0</v>
      </c>
      <c r="V30" s="86">
        <f>IF(OR(V$19=0,V$21=0,B30=0),0,2*(V$19-I30)-(V$19-I30)*((1+N30/(U$20*100))^(U$20*(SUM(J30:J$200)-T30)/Q$2)))</f>
        <v>0</v>
      </c>
      <c r="W30" s="86">
        <f>IF(B28=M$18,S$19,IF(B30=0,0,IF(A$10=1,IF(F31="z",SUM(U$23:U30)-SUM(W$23:W29),0),U30)))</f>
        <v>0</v>
      </c>
      <c r="X30" s="86"/>
      <c r="Y30" s="86"/>
    </row>
    <row r="31" spans="1:28" x14ac:dyDescent="0.25">
      <c r="B31" s="23">
        <f>IF(AND(G31="",G32&gt;0)," ",IF(G31="",0,MAX(B$22:B30)+1))</f>
        <v>9</v>
      </c>
      <c r="C31" s="83">
        <f t="shared" si="8"/>
        <v>0</v>
      </c>
      <c r="D31" s="183"/>
      <c r="E31" s="184">
        <v>-650</v>
      </c>
      <c r="F31" s="185"/>
      <c r="G31" s="186">
        <v>41498</v>
      </c>
      <c r="H31" s="187"/>
      <c r="I31" s="86">
        <f t="shared" si="12"/>
        <v>3274.3339699990001</v>
      </c>
      <c r="J31" s="87">
        <f t="shared" si="1"/>
        <v>139</v>
      </c>
      <c r="K31" s="86">
        <f t="shared" si="9"/>
        <v>31.606418182999999</v>
      </c>
      <c r="L31" s="58">
        <f t="shared" si="2"/>
        <v>0</v>
      </c>
      <c r="M31" s="23">
        <f t="shared" si="3"/>
        <v>249.79038818200002</v>
      </c>
      <c r="N31" s="79">
        <f>LOOKUP(2,1/(H$22:H31&lt;&gt;""),H$22:H31)*IF(A$12=1,(1+LOOKUP(2,1/(H$22:H31&lt;&gt;""),H$22:H31)*J31/M$6),1)</f>
        <v>2.5</v>
      </c>
      <c r="O31" s="50">
        <f t="shared" si="10"/>
        <v>-618.39358181700004</v>
      </c>
      <c r="P31" s="87">
        <f t="shared" si="4"/>
        <v>720</v>
      </c>
      <c r="Q31" s="82" t="e">
        <f t="shared" si="5"/>
        <v>#DIV/0!</v>
      </c>
      <c r="R31" s="88">
        <f t="shared" si="6"/>
        <v>0</v>
      </c>
      <c r="S31" s="148">
        <f t="shared" si="0"/>
        <v>-618.39358181700004</v>
      </c>
      <c r="T31" s="88">
        <f t="shared" si="11"/>
        <v>0</v>
      </c>
      <c r="U31" s="87">
        <f t="shared" si="7"/>
        <v>0</v>
      </c>
      <c r="V31" s="86">
        <f>IF(OR(V$19=0,V$21=0,B31=0),0,2*(V$19-I31)-(V$19-I31)*((1+N31/(U$20*100))^(U$20*(SUM(J31:J$200)-T31)/Q$2)))</f>
        <v>0</v>
      </c>
      <c r="W31" s="86">
        <f>IF(B29=M$18,S$19,IF(B31=0,0,IF(A$10=1,IF(F32="z",SUM(U$23:U31)-SUM(W$23:W30),0),U31)))</f>
        <v>0</v>
      </c>
      <c r="X31" s="86"/>
      <c r="Y31" s="86"/>
    </row>
    <row r="32" spans="1:28" x14ac:dyDescent="0.25">
      <c r="B32" s="23">
        <f>IF(AND(G32="",G33&gt;0)," ",IF(G32="",0,MAX(B$22:B31)+1))</f>
        <v>0</v>
      </c>
      <c r="C32" s="83">
        <f t="shared" si="8"/>
        <v>0</v>
      </c>
      <c r="D32" s="183"/>
      <c r="E32" s="184"/>
      <c r="F32" s="185"/>
      <c r="G32" s="186"/>
      <c r="H32" s="187"/>
      <c r="I32" s="86">
        <f t="shared" si="12"/>
        <v>0</v>
      </c>
      <c r="J32" s="87">
        <f t="shared" si="1"/>
        <v>0</v>
      </c>
      <c r="K32" s="86">
        <f t="shared" si="9"/>
        <v>0</v>
      </c>
      <c r="L32" s="58">
        <f t="shared" si="2"/>
        <v>0</v>
      </c>
      <c r="M32" s="23">
        <f t="shared" si="3"/>
        <v>249.79038818200002</v>
      </c>
      <c r="N32" s="79">
        <f>LOOKUP(2,1/(H$22:H32&lt;&gt;""),H$22:H32)*IF(A$12=1,(1+LOOKUP(2,1/(H$22:H32&lt;&gt;""),H$22:H32)*J32/M$6),1)</f>
        <v>2.5</v>
      </c>
      <c r="O32" s="50">
        <f t="shared" si="10"/>
        <v>0</v>
      </c>
      <c r="P32" s="87">
        <f t="shared" si="4"/>
        <v>720</v>
      </c>
      <c r="Q32" s="82" t="e">
        <f t="shared" si="5"/>
        <v>#DIV/0!</v>
      </c>
      <c r="R32" s="88">
        <f t="shared" si="6"/>
        <v>0</v>
      </c>
      <c r="S32" s="148">
        <f t="shared" si="0"/>
        <v>0</v>
      </c>
      <c r="T32" s="88">
        <f t="shared" si="11"/>
        <v>0</v>
      </c>
      <c r="U32" s="87">
        <f t="shared" si="7"/>
        <v>0</v>
      </c>
      <c r="V32" s="86">
        <f>IF(OR(V$19=0,V$21=0,B32=0),0,2*(V$19-I32)-(V$19-I32)*((1+N32/(U$20*100))^(U$20*(SUM(J32:J$200)-T32)/Q$2)))</f>
        <v>0</v>
      </c>
      <c r="W32" s="86">
        <f>IF(B30=M$18,S$19,IF(B32=0,0,IF(A$10=1,IF(F33="z",SUM(U$23:U32)-SUM(W$23:W31),0),U32)))</f>
        <v>0</v>
      </c>
      <c r="X32" s="86"/>
      <c r="Y32" s="86"/>
    </row>
    <row r="33" spans="2:26" x14ac:dyDescent="0.25">
      <c r="B33" s="23">
        <f>IF(AND(G33="",G34&gt;0)," ",IF(G33="",0,MAX(B$22:B32)+1))</f>
        <v>0</v>
      </c>
      <c r="C33" s="83">
        <f t="shared" si="8"/>
        <v>0</v>
      </c>
      <c r="D33" s="183"/>
      <c r="E33" s="184"/>
      <c r="F33" s="185"/>
      <c r="G33" s="186"/>
      <c r="H33" s="187"/>
      <c r="I33" s="86">
        <f t="shared" si="12"/>
        <v>0</v>
      </c>
      <c r="J33" s="87">
        <f t="shared" si="1"/>
        <v>0</v>
      </c>
      <c r="K33" s="86">
        <f t="shared" si="9"/>
        <v>249.79038818200002</v>
      </c>
      <c r="L33" s="58">
        <f t="shared" si="2"/>
        <v>0</v>
      </c>
      <c r="M33" s="23">
        <f t="shared" si="3"/>
        <v>499.58077636400003</v>
      </c>
      <c r="N33" s="79">
        <f>LOOKUP(2,1/(H$22:H33&lt;&gt;""),H$22:H33)*IF(A$12=1,(1+LOOKUP(2,1/(H$22:H33&lt;&gt;""),H$22:H33)*J33/M$6),1)</f>
        <v>2.5</v>
      </c>
      <c r="O33" s="50">
        <f t="shared" si="10"/>
        <v>0</v>
      </c>
      <c r="P33" s="87">
        <f t="shared" si="4"/>
        <v>720</v>
      </c>
      <c r="Q33" s="82" t="e">
        <f t="shared" si="5"/>
        <v>#DIV/0!</v>
      </c>
      <c r="R33" s="88">
        <f t="shared" si="6"/>
        <v>0</v>
      </c>
      <c r="S33" s="82">
        <f t="shared" si="0"/>
        <v>0</v>
      </c>
      <c r="T33" s="88">
        <f t="shared" si="11"/>
        <v>0</v>
      </c>
      <c r="U33" s="87">
        <f t="shared" si="7"/>
        <v>0</v>
      </c>
      <c r="V33" s="86">
        <f>IF(OR(V$19=0,V$21=0,B33=0),0,2*(V$19-I33)-(V$19-I33)*((1+N33/(U$20*100))^(U$20*(SUM(J33:J$200)-T33)/Q$2)))</f>
        <v>0</v>
      </c>
      <c r="W33" s="86">
        <f>IF(B31=M$18,S$19,IF(B33=0,0,IF(A$10=1,IF(F34="z",SUM(U$23:U33)-SUM(W$23:W32),0),U33)))</f>
        <v>0</v>
      </c>
      <c r="X33" s="86"/>
      <c r="Y33" s="86"/>
    </row>
    <row r="34" spans="2:26" x14ac:dyDescent="0.25">
      <c r="B34" s="23">
        <f>IF(AND(G34="",G35&gt;0)," ",IF(G34="",0,MAX(B$22:B33)+1))</f>
        <v>0</v>
      </c>
      <c r="C34" s="83">
        <f t="shared" si="8"/>
        <v>0</v>
      </c>
      <c r="D34" s="183"/>
      <c r="E34" s="184"/>
      <c r="F34" s="185"/>
      <c r="G34" s="186"/>
      <c r="H34" s="187"/>
      <c r="I34" s="86">
        <f t="shared" si="12"/>
        <v>0</v>
      </c>
      <c r="J34" s="87">
        <f t="shared" si="1"/>
        <v>0</v>
      </c>
      <c r="K34" s="86">
        <f t="shared" si="9"/>
        <v>0</v>
      </c>
      <c r="L34" s="58">
        <f t="shared" si="2"/>
        <v>0</v>
      </c>
      <c r="M34" s="23">
        <f t="shared" si="3"/>
        <v>499.58077636400003</v>
      </c>
      <c r="N34" s="79">
        <f>LOOKUP(2,1/(H$22:H34&lt;&gt;""),H$22:H34)*IF(A$12=1,(1+LOOKUP(2,1/(H$22:H34&lt;&gt;""),H$22:H34)*J34/M$6),1)</f>
        <v>2.5</v>
      </c>
      <c r="O34" s="50">
        <f t="shared" si="10"/>
        <v>0</v>
      </c>
      <c r="P34" s="87">
        <f t="shared" si="4"/>
        <v>720</v>
      </c>
      <c r="Q34" s="82" t="e">
        <f t="shared" si="5"/>
        <v>#DIV/0!</v>
      </c>
      <c r="R34" s="88">
        <f t="shared" si="6"/>
        <v>0</v>
      </c>
      <c r="S34" s="82">
        <f t="shared" si="0"/>
        <v>0</v>
      </c>
      <c r="T34" s="88">
        <f t="shared" si="11"/>
        <v>0</v>
      </c>
      <c r="U34" s="87">
        <f t="shared" si="7"/>
        <v>0</v>
      </c>
      <c r="V34" s="86">
        <f>IF(OR(V$19=0,V$21=0,B34=0),0,2*(V$19-I34)-(V$19-I34)*((1+N34/(U$20*100))^(U$20*(SUM(J34:J$200)-T34)/Q$2)))</f>
        <v>0</v>
      </c>
      <c r="W34" s="86">
        <f>IF(B32=M$18,S$19,IF(B34=0,0,IF(A$10=1,IF(F35="z",SUM(U$23:U34)-SUM(W$23:W33),0),U34)))</f>
        <v>0</v>
      </c>
      <c r="X34" s="86"/>
      <c r="Y34" s="86"/>
    </row>
    <row r="35" spans="2:26" x14ac:dyDescent="0.25">
      <c r="B35" s="23">
        <f>IF(AND(G35="",G36&gt;0)," ",IF(G35="",0,MAX(B$22:B34)+1))</f>
        <v>0</v>
      </c>
      <c r="C35" s="83">
        <f t="shared" si="8"/>
        <v>0</v>
      </c>
      <c r="D35" s="183"/>
      <c r="E35" s="184"/>
      <c r="F35" s="185"/>
      <c r="G35" s="186"/>
      <c r="H35" s="187"/>
      <c r="I35" s="86">
        <f t="shared" si="12"/>
        <v>0</v>
      </c>
      <c r="J35" s="87">
        <f t="shared" si="1"/>
        <v>0</v>
      </c>
      <c r="K35" s="86">
        <f t="shared" si="9"/>
        <v>0</v>
      </c>
      <c r="L35" s="58">
        <f t="shared" si="2"/>
        <v>0</v>
      </c>
      <c r="M35" s="23">
        <f t="shared" si="3"/>
        <v>499.58077636400003</v>
      </c>
      <c r="N35" s="79">
        <f>LOOKUP(2,1/(H$22:H35&lt;&gt;""),H$22:H35)*IF(A$12=1,(1+LOOKUP(2,1/(H$22:H35&lt;&gt;""),H$22:H35)*J35/M$6),1)</f>
        <v>2.5</v>
      </c>
      <c r="O35" s="50">
        <f t="shared" si="10"/>
        <v>0</v>
      </c>
      <c r="P35" s="87">
        <f t="shared" si="4"/>
        <v>720</v>
      </c>
      <c r="Q35" s="82" t="e">
        <f t="shared" si="5"/>
        <v>#DIV/0!</v>
      </c>
      <c r="R35" s="88">
        <f t="shared" si="6"/>
        <v>0</v>
      </c>
      <c r="S35" s="82">
        <f t="shared" si="0"/>
        <v>0</v>
      </c>
      <c r="T35" s="88">
        <f t="shared" si="11"/>
        <v>0</v>
      </c>
      <c r="U35" s="87">
        <f t="shared" si="7"/>
        <v>0</v>
      </c>
      <c r="V35" s="86">
        <f>IF(OR(V$19=0,V$21=0,B35=0),0,2*(V$19-I35)-(V$19-I35)*((1+N35/(U$20*100))^(U$20*(SUM(J35:J$200)-T35)/Q$2)))</f>
        <v>0</v>
      </c>
      <c r="W35" s="86">
        <f>IF(B33=M$18,S$19,IF(B35=0,0,IF(A$10=1,IF(F36="z",SUM(U$23:U35)-SUM(W$23:W34),0),U35)))</f>
        <v>0</v>
      </c>
      <c r="X35" s="86"/>
      <c r="Y35" s="86"/>
      <c r="Z35" s="157"/>
    </row>
    <row r="36" spans="2:26" x14ac:dyDescent="0.25">
      <c r="B36" s="23">
        <f>IF(AND(G36="",G37&gt;0)," ",IF(G36="",0,MAX(B$22:B35)+1))</f>
        <v>0</v>
      </c>
      <c r="C36" s="83">
        <f t="shared" si="8"/>
        <v>0</v>
      </c>
      <c r="D36" s="183"/>
      <c r="E36" s="184"/>
      <c r="F36" s="185"/>
      <c r="G36" s="186"/>
      <c r="H36" s="187"/>
      <c r="I36" s="86">
        <f t="shared" si="12"/>
        <v>0</v>
      </c>
      <c r="J36" s="87">
        <f t="shared" si="1"/>
        <v>0</v>
      </c>
      <c r="K36" s="86">
        <f t="shared" si="9"/>
        <v>0</v>
      </c>
      <c r="L36" s="58">
        <f>IF(B2="codewf","  W a l t e r   F R I C K E,   D  e r e n d o r f   (W F)", IF(B36=0,0,IF(AND(A$10=1,OR(B37=0,F37="z",AND(G38=0,G$9=0))),M36,0)))</f>
        <v>0</v>
      </c>
      <c r="M36" s="23">
        <f t="shared" si="3"/>
        <v>499.58077636400003</v>
      </c>
      <c r="N36" s="79">
        <f>LOOKUP(2,1/(H$22:H36&lt;&gt;""),H$22:H36)*IF(A$12=1,(1+LOOKUP(2,1/(H$22:H36&lt;&gt;""),H$22:H36)*J36/M$6),1)</f>
        <v>2.5</v>
      </c>
      <c r="O36" s="50">
        <f t="shared" si="10"/>
        <v>0</v>
      </c>
      <c r="P36" s="87">
        <f t="shared" si="4"/>
        <v>720</v>
      </c>
      <c r="Q36" s="82" t="e">
        <f t="shared" si="5"/>
        <v>#DIV/0!</v>
      </c>
      <c r="R36" s="88">
        <f t="shared" si="6"/>
        <v>0</v>
      </c>
      <c r="S36" s="82">
        <f t="shared" si="0"/>
        <v>0</v>
      </c>
      <c r="T36" s="88">
        <f t="shared" si="11"/>
        <v>0</v>
      </c>
      <c r="U36" s="87">
        <f t="shared" si="7"/>
        <v>0</v>
      </c>
      <c r="V36" s="86">
        <f>IF(OR(V$19=0,V$21=0,B36=0),0,2*(V$19-I36)-(V$19-I36)*((1+N36/(U$20*100))^(U$20*(SUM(J36:J$200)-T36)/Q$2)))</f>
        <v>0</v>
      </c>
      <c r="W36" s="86">
        <f>IF(B34=M$18,S$19,IF(B36=0,0,IF(A$10=1,IF(F37="z",SUM(U$23:U36)-SUM(W$23:W35),0),U36)))</f>
        <v>0</v>
      </c>
      <c r="X36" s="86"/>
      <c r="Y36" s="86"/>
    </row>
    <row r="37" spans="2:26" x14ac:dyDescent="0.25">
      <c r="B37" s="23">
        <f>IF(AND(G37="",G38&gt;0)," ",IF(G37="",0,MAX(B$22:B36)+1))</f>
        <v>0</v>
      </c>
      <c r="C37" s="83">
        <f t="shared" si="8"/>
        <v>0</v>
      </c>
      <c r="D37" s="183"/>
      <c r="E37" s="184"/>
      <c r="F37" s="185"/>
      <c r="G37" s="186"/>
      <c r="H37" s="187"/>
      <c r="I37" s="86">
        <f t="shared" si="12"/>
        <v>0</v>
      </c>
      <c r="J37" s="87">
        <f t="shared" si="1"/>
        <v>0</v>
      </c>
      <c r="K37" s="86">
        <f t="shared" si="9"/>
        <v>0</v>
      </c>
      <c r="L37" s="58">
        <f>IF(B2="code24","  24.02.1949 in Bremerhaven", IF(B37=0,0,IF(AND(A$10=1,OR(B38=0,F38="z",AND(G39=0,G$9=0))),M37,0)))</f>
        <v>0</v>
      </c>
      <c r="M37" s="23">
        <f t="shared" si="3"/>
        <v>499.58077636400003</v>
      </c>
      <c r="N37" s="79">
        <f>LOOKUP(2,1/(H$22:H37&lt;&gt;""),H$22:H37)*IF(A$12=1,(1+LOOKUP(2,1/(H$22:H37&lt;&gt;""),H$22:H37)*J37/M$6),1)</f>
        <v>2.5</v>
      </c>
      <c r="O37" s="50">
        <f t="shared" si="10"/>
        <v>0</v>
      </c>
      <c r="P37" s="87">
        <f t="shared" si="4"/>
        <v>720</v>
      </c>
      <c r="Q37" s="82" t="e">
        <f t="shared" si="5"/>
        <v>#DIV/0!</v>
      </c>
      <c r="R37" s="88">
        <f t="shared" si="6"/>
        <v>0</v>
      </c>
      <c r="S37" s="82">
        <f t="shared" si="0"/>
        <v>0</v>
      </c>
      <c r="T37" s="88">
        <f t="shared" si="11"/>
        <v>0</v>
      </c>
      <c r="U37" s="87">
        <f t="shared" si="7"/>
        <v>0</v>
      </c>
      <c r="V37" s="86">
        <f>IF(OR(V$19=0,V$21=0,B37=0),0,2*(V$19-I37)-(V$19-I37)*((1+N37/(U$20*100))^(U$20*(SUM(J37:J$200)-T37)/Q$2)))</f>
        <v>0</v>
      </c>
      <c r="W37" s="86">
        <f>IF(B35=M$18,S$19,IF(B37=0,0,IF(A$10=1,IF(F38="z",SUM(U$23:U37)-SUM(W$23:W36),0),U37)))</f>
        <v>0</v>
      </c>
      <c r="X37" s="86"/>
      <c r="Y37" s="86"/>
    </row>
    <row r="38" spans="2:26" x14ac:dyDescent="0.25">
      <c r="B38" s="23">
        <f>IF(AND(G38="",G39&gt;0)," ",IF(G38="",0,MAX(B$22:B37)+1))</f>
        <v>0</v>
      </c>
      <c r="C38" s="83">
        <f t="shared" si="8"/>
        <v>0</v>
      </c>
      <c r="D38" s="183"/>
      <c r="E38" s="184"/>
      <c r="F38" s="185"/>
      <c r="G38" s="186"/>
      <c r="H38" s="187"/>
      <c r="I38" s="86">
        <f t="shared" si="12"/>
        <v>0</v>
      </c>
      <c r="J38" s="87">
        <f t="shared" si="1"/>
        <v>0</v>
      </c>
      <c r="K38" s="86">
        <f t="shared" si="9"/>
        <v>0</v>
      </c>
      <c r="L38" s="58">
        <f t="shared" ref="L38:L69" si="13">IF(B38=0,0,IF(AND(A$10=1,OR(B39=0,F39="z",AND(G40=0,G$9=0))),M38,0))</f>
        <v>0</v>
      </c>
      <c r="M38" s="23">
        <f t="shared" si="3"/>
        <v>499.58077636400003</v>
      </c>
      <c r="N38" s="79">
        <f>LOOKUP(2,1/(H$22:H38&lt;&gt;""),H$22:H38)*IF(A$12=1,(1+LOOKUP(2,1/(H$22:H38&lt;&gt;""),H$22:H38)*J38/M$6),1)</f>
        <v>2.5</v>
      </c>
      <c r="O38" s="50">
        <f t="shared" si="10"/>
        <v>0</v>
      </c>
      <c r="P38" s="87">
        <f t="shared" si="4"/>
        <v>720</v>
      </c>
      <c r="Q38" s="82" t="e">
        <f t="shared" si="5"/>
        <v>#DIV/0!</v>
      </c>
      <c r="R38" s="88">
        <f t="shared" si="6"/>
        <v>0</v>
      </c>
      <c r="S38" s="82">
        <f t="shared" si="0"/>
        <v>0</v>
      </c>
      <c r="T38" s="88">
        <f t="shared" si="11"/>
        <v>0</v>
      </c>
      <c r="U38" s="87">
        <f t="shared" si="7"/>
        <v>0</v>
      </c>
      <c r="V38" s="86">
        <f>IF(OR(V$19=0,V$21=0,B38=0),0,2*(V$19-I38)-(V$19-I38)*((1+N38/(U$20*100))^(U$20*(SUM(J38:J$200)-T38)/Q$2)))</f>
        <v>0</v>
      </c>
      <c r="W38" s="86">
        <f>IF(B36=M$18,S$19,IF(B38=0,0,IF(A$10=1,IF(F39="z",SUM(U$23:U38)-SUM(W$23:W37),0),U38)))</f>
        <v>0</v>
      </c>
      <c r="X38" s="86"/>
      <c r="Y38" s="86"/>
    </row>
    <row r="39" spans="2:26" x14ac:dyDescent="0.25">
      <c r="B39" s="23">
        <f>IF(AND(G39="",G40&gt;0)," ",IF(G39="",0,MAX(B$22:B38)+1))</f>
        <v>0</v>
      </c>
      <c r="C39" s="83">
        <f t="shared" si="8"/>
        <v>0</v>
      </c>
      <c r="D39" s="183"/>
      <c r="E39" s="184"/>
      <c r="F39" s="185"/>
      <c r="G39" s="186"/>
      <c r="H39" s="187"/>
      <c r="I39" s="86">
        <f t="shared" si="12"/>
        <v>0</v>
      </c>
      <c r="J39" s="87">
        <f t="shared" si="1"/>
        <v>0</v>
      </c>
      <c r="K39" s="86">
        <f t="shared" si="9"/>
        <v>0</v>
      </c>
      <c r="L39" s="58">
        <f t="shared" si="13"/>
        <v>0</v>
      </c>
      <c r="M39" s="23">
        <f t="shared" si="3"/>
        <v>499.58077636400003</v>
      </c>
      <c r="N39" s="79">
        <f>LOOKUP(2,1/(H$22:H39&lt;&gt;""),H$22:H39)*IF(A$12=1,(1+LOOKUP(2,1/(H$22:H39&lt;&gt;""),H$22:H39)*J39/M$6),1)</f>
        <v>2.5</v>
      </c>
      <c r="O39" s="50">
        <f t="shared" si="10"/>
        <v>0</v>
      </c>
      <c r="P39" s="87">
        <f t="shared" si="4"/>
        <v>720</v>
      </c>
      <c r="Q39" s="82" t="e">
        <f t="shared" si="5"/>
        <v>#DIV/0!</v>
      </c>
      <c r="R39" s="88">
        <f t="shared" si="6"/>
        <v>0</v>
      </c>
      <c r="S39" s="82">
        <f t="shared" si="0"/>
        <v>0</v>
      </c>
      <c r="T39" s="88">
        <f t="shared" si="11"/>
        <v>0</v>
      </c>
      <c r="U39" s="87">
        <f t="shared" si="7"/>
        <v>0</v>
      </c>
      <c r="V39" s="86">
        <f>IF(OR(V$19=0,V$21=0,B39=0),0,2*(V$19-I39)-(V$19-I39)*((1+N39/(U$20*100))^(U$20*(SUM(J39:J$200)-T39)/Q$2)))</f>
        <v>0</v>
      </c>
      <c r="W39" s="86">
        <f>IF(B37=M$18,S$19,IF(B39=0,0,IF(A$10=1,IF(F40="z",SUM(U$23:U39)-SUM(W$23:W38),0),U39)))</f>
        <v>0</v>
      </c>
    </row>
    <row r="40" spans="2:26" x14ac:dyDescent="0.25">
      <c r="B40" s="23">
        <f>IF(AND(G40="",G41&gt;0)," ",IF(G40="",0,MAX(B$22:B39)+1))</f>
        <v>0</v>
      </c>
      <c r="C40" s="83">
        <f t="shared" si="8"/>
        <v>0</v>
      </c>
      <c r="D40" s="183"/>
      <c r="E40" s="184"/>
      <c r="F40" s="185"/>
      <c r="G40" s="186"/>
      <c r="H40" s="187"/>
      <c r="I40" s="86">
        <f t="shared" si="12"/>
        <v>0</v>
      </c>
      <c r="J40" s="87">
        <f t="shared" si="1"/>
        <v>0</v>
      </c>
      <c r="K40" s="86">
        <f t="shared" si="9"/>
        <v>0</v>
      </c>
      <c r="L40" s="58">
        <f t="shared" si="13"/>
        <v>0</v>
      </c>
      <c r="M40" s="23">
        <f t="shared" si="3"/>
        <v>499.58077636400003</v>
      </c>
      <c r="N40" s="79">
        <f>LOOKUP(2,1/(H$22:H40&lt;&gt;""),H$22:H40)*IF(A$12=1,(1+LOOKUP(2,1/(H$22:H40&lt;&gt;""),H$22:H40)*J40/M$6),1)</f>
        <v>2.5</v>
      </c>
      <c r="O40" s="50">
        <f t="shared" si="10"/>
        <v>0</v>
      </c>
      <c r="P40" s="87">
        <f t="shared" si="4"/>
        <v>720</v>
      </c>
      <c r="Q40" s="82" t="e">
        <f t="shared" si="5"/>
        <v>#DIV/0!</v>
      </c>
      <c r="R40" s="88">
        <f t="shared" si="6"/>
        <v>0</v>
      </c>
      <c r="S40" s="82">
        <f t="shared" si="0"/>
        <v>0</v>
      </c>
      <c r="T40" s="88">
        <f t="shared" si="11"/>
        <v>0</v>
      </c>
      <c r="U40" s="87">
        <f t="shared" si="7"/>
        <v>0</v>
      </c>
      <c r="V40" s="86">
        <f>IF(OR(V$19=0,V$21=0,B40=0),0,2*(V$19-I40)-(V$19-I40)*((1+N40/(U$20*100))^(U$20*(SUM(J40:J$200)-T40)/Q$2)))</f>
        <v>0</v>
      </c>
      <c r="W40" s="86">
        <f>IF(B38=M$18,S$19,IF(B40=0,0,IF(A$10=1,IF(F41="z",SUM(U$23:U40)-SUM(W$23:W39),0),U40)))</f>
        <v>0</v>
      </c>
    </row>
    <row r="41" spans="2:26" x14ac:dyDescent="0.25">
      <c r="B41" s="23">
        <f>IF(AND(G41="",G42&gt;0)," ",IF(G41="",0,MAX(B$22:B40)+1))</f>
        <v>0</v>
      </c>
      <c r="C41" s="83">
        <f t="shared" si="8"/>
        <v>0</v>
      </c>
      <c r="D41" s="183"/>
      <c r="E41" s="184"/>
      <c r="F41" s="185"/>
      <c r="G41" s="186"/>
      <c r="H41" s="187"/>
      <c r="I41" s="86">
        <f t="shared" si="12"/>
        <v>0</v>
      </c>
      <c r="J41" s="87">
        <f t="shared" si="1"/>
        <v>0</v>
      </c>
      <c r="K41" s="86">
        <f t="shared" si="9"/>
        <v>0</v>
      </c>
      <c r="L41" s="58">
        <f t="shared" si="13"/>
        <v>0</v>
      </c>
      <c r="M41" s="23">
        <f t="shared" si="3"/>
        <v>499.58077636400003</v>
      </c>
      <c r="N41" s="79">
        <f>LOOKUP(2,1/(H$22:H41&lt;&gt;""),H$22:H41)*IF(A$12=1,(1+LOOKUP(2,1/(H$22:H41&lt;&gt;""),H$22:H41)*J41/M$6),1)</f>
        <v>2.5</v>
      </c>
      <c r="O41" s="50">
        <f t="shared" ref="O41:O56" si="14">IF(B41=0,0,IF(M$3=3,0,E41)+IF(A$10=1,L41,K41))</f>
        <v>0</v>
      </c>
      <c r="P41" s="87">
        <f t="shared" si="4"/>
        <v>720</v>
      </c>
      <c r="Q41" s="82" t="e">
        <f t="shared" si="5"/>
        <v>#DIV/0!</v>
      </c>
      <c r="R41" s="88">
        <f t="shared" si="6"/>
        <v>0</v>
      </c>
      <c r="S41" s="82">
        <f t="shared" si="0"/>
        <v>0</v>
      </c>
      <c r="T41" s="88">
        <f t="shared" si="11"/>
        <v>0</v>
      </c>
      <c r="U41" s="87">
        <f t="shared" si="7"/>
        <v>0</v>
      </c>
      <c r="V41" s="86">
        <f>IF(OR(V$19=0,V$21=0,B41=0),0,2*(V$19-I41)-(V$19-I41)*((1+N41/(U$20*100))^(U$20*(SUM(J41:J$200)-T41)/Q$2)))</f>
        <v>0</v>
      </c>
      <c r="W41" s="86">
        <f>IF(B39=M$18,S$19,IF(B41=0,0,IF(A$10=1,IF(F42="z",SUM(U$23:U41)-SUM(W$23:W40),0),U41)))</f>
        <v>0</v>
      </c>
    </row>
    <row r="42" spans="2:26" x14ac:dyDescent="0.25">
      <c r="B42" s="23">
        <f>IF(AND(G42="",G43&gt;0)," ",IF(G42="",0,MAX(B$22:B41)+1))</f>
        <v>0</v>
      </c>
      <c r="C42" s="83">
        <f t="shared" si="8"/>
        <v>0</v>
      </c>
      <c r="D42" s="183"/>
      <c r="E42" s="184"/>
      <c r="F42" s="185"/>
      <c r="G42" s="186"/>
      <c r="H42" s="187"/>
      <c r="I42" s="86">
        <f t="shared" si="12"/>
        <v>0</v>
      </c>
      <c r="J42" s="87">
        <f t="shared" si="1"/>
        <v>0</v>
      </c>
      <c r="K42" s="86">
        <f t="shared" si="9"/>
        <v>0</v>
      </c>
      <c r="L42" s="58">
        <f t="shared" si="13"/>
        <v>0</v>
      </c>
      <c r="M42" s="23">
        <f t="shared" si="3"/>
        <v>499.58077636400003</v>
      </c>
      <c r="N42" s="79">
        <f>LOOKUP(2,1/(H$22:H42&lt;&gt;""),H$22:H42)*IF(A$12=1,(1+LOOKUP(2,1/(H$22:H42&lt;&gt;""),H$22:H42)*J42/M$6),1)</f>
        <v>2.5</v>
      </c>
      <c r="O42" s="50">
        <f t="shared" si="14"/>
        <v>0</v>
      </c>
      <c r="P42" s="87">
        <f t="shared" si="4"/>
        <v>720</v>
      </c>
      <c r="Q42" s="82" t="e">
        <f t="shared" si="5"/>
        <v>#DIV/0!</v>
      </c>
      <c r="R42" s="88">
        <f t="shared" si="6"/>
        <v>0</v>
      </c>
      <c r="S42" s="82">
        <f t="shared" si="0"/>
        <v>0</v>
      </c>
      <c r="T42" s="88">
        <f t="shared" si="11"/>
        <v>0</v>
      </c>
      <c r="U42" s="87">
        <f t="shared" si="7"/>
        <v>0</v>
      </c>
      <c r="V42" s="86">
        <f>IF(OR(V$19=0,V$21=0,B42=0),0,2*(V$19-I42)-(V$19-I42)*((1+N42/(U$20*100))^(U$20*(SUM(J42:J$200)-T42)/Q$2)))</f>
        <v>0</v>
      </c>
      <c r="W42" s="86">
        <f>IF(B40=M$18,S$19,IF(B42=0,0,IF(A$10=1,IF(F43="z",SUM(U$23:U42)-SUM(W$23:W41),0),U42)))</f>
        <v>0</v>
      </c>
    </row>
    <row r="43" spans="2:26" x14ac:dyDescent="0.25">
      <c r="B43" s="23">
        <f>IF(AND(G43="",G44&gt;0)," ",IF(G43="",0,MAX(B$22:B42)+1))</f>
        <v>0</v>
      </c>
      <c r="C43" s="83">
        <f t="shared" si="8"/>
        <v>0</v>
      </c>
      <c r="D43" s="183"/>
      <c r="E43" s="184"/>
      <c r="F43" s="185"/>
      <c r="G43" s="186"/>
      <c r="H43" s="187"/>
      <c r="I43" s="86">
        <f t="shared" si="12"/>
        <v>0</v>
      </c>
      <c r="J43" s="87">
        <f t="shared" si="1"/>
        <v>0</v>
      </c>
      <c r="K43" s="86">
        <f t="shared" si="9"/>
        <v>0</v>
      </c>
      <c r="L43" s="58">
        <f t="shared" si="13"/>
        <v>0</v>
      </c>
      <c r="M43" s="23">
        <f t="shared" si="3"/>
        <v>499.58077636400003</v>
      </c>
      <c r="N43" s="79">
        <f>LOOKUP(2,1/(H$22:H43&lt;&gt;""),H$22:H43)*IF(A$12=1,(1+LOOKUP(2,1/(H$22:H43&lt;&gt;""),H$22:H43)*J43/M$6),1)</f>
        <v>2.5</v>
      </c>
      <c r="O43" s="50">
        <f t="shared" si="14"/>
        <v>0</v>
      </c>
      <c r="P43" s="87">
        <f t="shared" si="4"/>
        <v>720</v>
      </c>
      <c r="Q43" s="82" t="e">
        <f t="shared" si="5"/>
        <v>#DIV/0!</v>
      </c>
      <c r="R43" s="88">
        <f t="shared" si="6"/>
        <v>0</v>
      </c>
      <c r="S43" s="82">
        <f t="shared" si="0"/>
        <v>0</v>
      </c>
      <c r="T43" s="88">
        <f t="shared" si="11"/>
        <v>0</v>
      </c>
      <c r="U43" s="87">
        <f t="shared" si="7"/>
        <v>0</v>
      </c>
      <c r="V43" s="86">
        <f>IF(OR(V$19=0,V$21=0,B43=0),0,2*(V$19-I43)-(V$19-I43)*((1+N43/(U$20*100))^(U$20*(SUM(J43:J$200)-T43)/Q$2)))</f>
        <v>0</v>
      </c>
      <c r="W43" s="86">
        <f>IF(B41=M$18,S$19,IF(B43=0,0,IF(A$10=1,IF(F44="z",SUM(U$23:U43)-SUM(W$23:W42),0),U43)))</f>
        <v>0</v>
      </c>
    </row>
    <row r="44" spans="2:26" x14ac:dyDescent="0.25">
      <c r="B44" s="23">
        <f>IF(AND(G44="",G45&gt;0)," ",IF(G44="",0,MAX(B$22:B43)+1))</f>
        <v>0</v>
      </c>
      <c r="C44" s="83">
        <f t="shared" si="8"/>
        <v>0</v>
      </c>
      <c r="D44" s="183"/>
      <c r="E44" s="184"/>
      <c r="F44" s="185"/>
      <c r="G44" s="186"/>
      <c r="H44" s="187"/>
      <c r="I44" s="86">
        <f t="shared" si="12"/>
        <v>0</v>
      </c>
      <c r="J44" s="87">
        <f t="shared" si="1"/>
        <v>0</v>
      </c>
      <c r="K44" s="86">
        <f t="shared" si="9"/>
        <v>0</v>
      </c>
      <c r="L44" s="58">
        <f t="shared" si="13"/>
        <v>0</v>
      </c>
      <c r="M44" s="23">
        <f t="shared" si="3"/>
        <v>499.58077636400003</v>
      </c>
      <c r="N44" s="79">
        <f>LOOKUP(2,1/(H$22:H44&lt;&gt;""),H$22:H44)*IF(A$12=1,(1+LOOKUP(2,1/(H$22:H44&lt;&gt;""),H$22:H44)*J44/M$6),1)</f>
        <v>2.5</v>
      </c>
      <c r="O44" s="50">
        <f t="shared" si="14"/>
        <v>0</v>
      </c>
      <c r="P44" s="87">
        <f t="shared" si="4"/>
        <v>720</v>
      </c>
      <c r="Q44" s="82" t="e">
        <f t="shared" si="5"/>
        <v>#DIV/0!</v>
      </c>
      <c r="R44" s="88">
        <f t="shared" si="6"/>
        <v>0</v>
      </c>
      <c r="S44" s="82">
        <f t="shared" si="0"/>
        <v>0</v>
      </c>
      <c r="T44" s="88">
        <f t="shared" si="11"/>
        <v>0</v>
      </c>
      <c r="U44" s="87">
        <f t="shared" si="7"/>
        <v>0</v>
      </c>
      <c r="V44" s="86">
        <f>IF(OR(V$19=0,V$21=0,B44=0),0,2*(V$19-I44)-(V$19-I44)*((1+N44/(U$20*100))^(U$20*(SUM(J44:J$200)-T44)/Q$2)))</f>
        <v>0</v>
      </c>
      <c r="W44" s="86">
        <f>IF(B42=M$18,S$19,IF(B44=0,0,IF(A$10=1,IF(F45="z",SUM(U$23:U44)-SUM(W$23:W43),0),U44)))</f>
        <v>0</v>
      </c>
    </row>
    <row r="45" spans="2:26" x14ac:dyDescent="0.25">
      <c r="B45" s="23">
        <f>IF(AND(G45="",G46&gt;0)," ",IF(G45="",0,MAX(B$22:B44)+1))</f>
        <v>0</v>
      </c>
      <c r="C45" s="83">
        <f t="shared" si="8"/>
        <v>0</v>
      </c>
      <c r="D45" s="89"/>
      <c r="E45" s="33"/>
      <c r="F45" s="26"/>
      <c r="G45" s="84"/>
      <c r="H45" s="85"/>
      <c r="I45" s="86">
        <f t="shared" si="12"/>
        <v>0</v>
      </c>
      <c r="J45" s="87">
        <f t="shared" si="1"/>
        <v>0</v>
      </c>
      <c r="K45" s="86">
        <f t="shared" si="9"/>
        <v>0</v>
      </c>
      <c r="L45" s="58">
        <f t="shared" si="13"/>
        <v>0</v>
      </c>
      <c r="M45" s="23">
        <f t="shared" si="3"/>
        <v>499.58077636400003</v>
      </c>
      <c r="N45" s="79">
        <f>LOOKUP(2,1/(H$22:H45&lt;&gt;""),H$22:H45)*IF(A$12=1,(1+LOOKUP(2,1/(H$22:H45&lt;&gt;""),H$22:H45)*J45/M$6),1)</f>
        <v>2.5</v>
      </c>
      <c r="O45" s="50">
        <f t="shared" si="14"/>
        <v>0</v>
      </c>
      <c r="P45" s="87">
        <f>IF($A$4="r","(FW)  miehnoM ,EKCIRF retlaW",P44+J45)</f>
        <v>720</v>
      </c>
      <c r="Q45" s="82" t="e">
        <f t="shared" si="5"/>
        <v>#DIV/0!</v>
      </c>
      <c r="R45" s="88">
        <f t="shared" si="6"/>
        <v>0</v>
      </c>
      <c r="S45" s="82">
        <f t="shared" si="0"/>
        <v>0</v>
      </c>
      <c r="T45" s="88">
        <f t="shared" si="11"/>
        <v>0</v>
      </c>
      <c r="U45" s="87">
        <f t="shared" si="7"/>
        <v>0</v>
      </c>
      <c r="V45" s="86">
        <f>IF(OR(V$19=0,V$21=0,B45=0),0,2*(V$19-I45)-(V$19-I45)*((1+N45/(U$20*100))^(U$20*(SUM(J45:J$200)-T45)/Q$2)))</f>
        <v>0</v>
      </c>
      <c r="W45" s="86">
        <f>IF(B43=M$18,S$19,IF(B45=0,0,IF(A$10=1,IF(F46="z",SUM(U$23:U45)-SUM(W$23:W44),0),U45)))</f>
        <v>0</v>
      </c>
    </row>
    <row r="46" spans="2:26" x14ac:dyDescent="0.25">
      <c r="B46" s="23">
        <f>IF(AND(G46="",G47&gt;0)," ",IF(G46="",0,MAX(B$22:B45)+1))</f>
        <v>0</v>
      </c>
      <c r="C46" s="83">
        <f t="shared" si="8"/>
        <v>0</v>
      </c>
      <c r="D46" s="89"/>
      <c r="E46" s="33"/>
      <c r="F46" s="26"/>
      <c r="G46" s="84"/>
      <c r="H46" s="85"/>
      <c r="I46" s="86">
        <f t="shared" si="12"/>
        <v>0</v>
      </c>
      <c r="J46" s="87">
        <f t="shared" si="1"/>
        <v>0</v>
      </c>
      <c r="K46" s="86">
        <f t="shared" si="9"/>
        <v>0</v>
      </c>
      <c r="L46" s="58">
        <f t="shared" si="13"/>
        <v>0</v>
      </c>
      <c r="M46" s="23">
        <f t="shared" si="3"/>
        <v>499.58077636400003</v>
      </c>
      <c r="N46" s="79">
        <f>LOOKUP(2,1/(H$22:H46&lt;&gt;""),H$22:H46)*IF(A$12=1,(1+LOOKUP(2,1/(H$22:H46&lt;&gt;""),H$22:H46)*J46/M$6),1)</f>
        <v>2.5</v>
      </c>
      <c r="O46" s="50">
        <f t="shared" si="14"/>
        <v>0</v>
      </c>
      <c r="P46" s="87">
        <f t="shared" ref="P46:P77" si="15">P45+J46</f>
        <v>720</v>
      </c>
      <c r="Q46" s="82" t="e">
        <f t="shared" si="5"/>
        <v>#DIV/0!</v>
      </c>
      <c r="R46" s="88">
        <f t="shared" si="6"/>
        <v>0</v>
      </c>
      <c r="S46" s="82">
        <f t="shared" si="0"/>
        <v>0</v>
      </c>
      <c r="T46" s="88">
        <f t="shared" si="11"/>
        <v>0</v>
      </c>
      <c r="U46" s="87">
        <f t="shared" si="7"/>
        <v>0</v>
      </c>
      <c r="V46" s="86">
        <f>IF(OR(V$19=0,V$21=0,B46=0),0,2*(V$19-I46)-(V$19-I46)*((1+N46/(U$20*100))^(U$20*(SUM(J46:J$200)-T46)/Q$2)))</f>
        <v>0</v>
      </c>
      <c r="W46" s="86">
        <f>IF(B44=M$18,S$19,IF(B46=0,0,IF(A$10=1,IF(F47="z",SUM(U$23:U46)-SUM(W$23:W45),0),U46)))</f>
        <v>0</v>
      </c>
    </row>
    <row r="47" spans="2:26" x14ac:dyDescent="0.25">
      <c r="B47" s="23">
        <f>IF(AND(G47="",G48&gt;0)," ",IF(G47="",0,MAX(B$22:B46)+1))</f>
        <v>0</v>
      </c>
      <c r="C47" s="83">
        <f t="shared" si="8"/>
        <v>0</v>
      </c>
      <c r="D47" s="89"/>
      <c r="E47" s="33"/>
      <c r="F47" s="26"/>
      <c r="G47" s="84"/>
      <c r="H47" s="85"/>
      <c r="I47" s="86">
        <f t="shared" si="12"/>
        <v>0</v>
      </c>
      <c r="J47" s="87">
        <f t="shared" si="1"/>
        <v>0</v>
      </c>
      <c r="K47" s="86">
        <f t="shared" si="9"/>
        <v>0</v>
      </c>
      <c r="L47" s="58">
        <f t="shared" si="13"/>
        <v>0</v>
      </c>
      <c r="M47" s="23">
        <f t="shared" si="3"/>
        <v>499.58077636400003</v>
      </c>
      <c r="N47" s="79">
        <f>LOOKUP(2,1/(H$22:H47&lt;&gt;""),H$22:H47)*IF(A$12=1,(1+LOOKUP(2,1/(H$22:H47&lt;&gt;""),H$22:H47)*J47/M$6),1)</f>
        <v>2.5</v>
      </c>
      <c r="O47" s="50">
        <f t="shared" si="14"/>
        <v>0</v>
      </c>
      <c r="P47" s="87">
        <f t="shared" si="15"/>
        <v>720</v>
      </c>
      <c r="Q47" s="82" t="e">
        <f t="shared" si="5"/>
        <v>#DIV/0!</v>
      </c>
      <c r="R47" s="88">
        <f t="shared" si="6"/>
        <v>0</v>
      </c>
      <c r="S47" s="82">
        <f t="shared" si="0"/>
        <v>0</v>
      </c>
      <c r="T47" s="88">
        <f t="shared" si="11"/>
        <v>0</v>
      </c>
      <c r="U47" s="87">
        <f t="shared" si="7"/>
        <v>0</v>
      </c>
      <c r="V47" s="86">
        <f>IF(OR(V$19=0,V$21=0,B47=0),0,2*(V$19-I47)-(V$19-I47)*((1+N47/(U$20*100))^(U$20*(SUM(J47:J$200)-T47)/Q$2)))</f>
        <v>0</v>
      </c>
      <c r="W47" s="86">
        <f>IF(B45=M$18,S$19,IF(B47=0,0,IF(A$10=1,IF(F48="z",SUM(U$23:U47)-SUM(W$23:W46),0),U47)))</f>
        <v>0</v>
      </c>
    </row>
    <row r="48" spans="2:26" x14ac:dyDescent="0.25">
      <c r="B48" s="23">
        <f>IF(AND(G48="",G49&gt;0)," ",IF(G48="",0,MAX(B$22:B47)+1))</f>
        <v>0</v>
      </c>
      <c r="C48" s="83">
        <f t="shared" si="8"/>
        <v>0</v>
      </c>
      <c r="D48" s="89"/>
      <c r="E48" s="33"/>
      <c r="F48" s="26"/>
      <c r="G48" s="84"/>
      <c r="H48" s="85"/>
      <c r="I48" s="86">
        <f t="shared" si="12"/>
        <v>0</v>
      </c>
      <c r="J48" s="87">
        <f t="shared" si="1"/>
        <v>0</v>
      </c>
      <c r="K48" s="86">
        <f t="shared" si="9"/>
        <v>0</v>
      </c>
      <c r="L48" s="58">
        <f t="shared" si="13"/>
        <v>0</v>
      </c>
      <c r="M48" s="23">
        <f t="shared" si="3"/>
        <v>499.58077636400003</v>
      </c>
      <c r="N48" s="79">
        <f>LOOKUP(2,1/(H$22:H48&lt;&gt;""),H$22:H48)*IF(A$12=1,(1+LOOKUP(2,1/(H$22:H48&lt;&gt;""),H$22:H48)*J48/M$6),1)</f>
        <v>2.5</v>
      </c>
      <c r="O48" s="50">
        <f t="shared" si="14"/>
        <v>0</v>
      </c>
      <c r="P48" s="87">
        <f t="shared" si="15"/>
        <v>720</v>
      </c>
      <c r="Q48" s="82" t="e">
        <f t="shared" si="5"/>
        <v>#DIV/0!</v>
      </c>
      <c r="R48" s="88">
        <f t="shared" si="6"/>
        <v>0</v>
      </c>
      <c r="S48" s="82">
        <f t="shared" si="0"/>
        <v>0</v>
      </c>
      <c r="T48" s="88">
        <f t="shared" si="11"/>
        <v>0</v>
      </c>
      <c r="U48" s="87">
        <f t="shared" si="7"/>
        <v>0</v>
      </c>
      <c r="V48" s="86">
        <f>IF(OR(V$19=0,V$21=0,B48=0),0,2*(V$19-I48)-(V$19-I48)*((1+N48/(U$20*100))^(U$20*(SUM(J48:J$200)-T48)/Q$2)))</f>
        <v>0</v>
      </c>
      <c r="W48" s="86">
        <f>IF(B46=M$18,S$19,IF(B48=0,0,IF(A$10=1,IF(F49="z",SUM(U$23:U48)-SUM(W$23:W47),0),U48)))</f>
        <v>0</v>
      </c>
    </row>
    <row r="49" spans="2:23" x14ac:dyDescent="0.25">
      <c r="B49" s="23">
        <f>IF(AND(G49="",G50&gt;0)," ",IF(G49="",0,MAX(B$22:B48)+1))</f>
        <v>0</v>
      </c>
      <c r="C49" s="83">
        <f t="shared" si="8"/>
        <v>0</v>
      </c>
      <c r="D49" s="89"/>
      <c r="E49" s="33"/>
      <c r="F49" s="26"/>
      <c r="G49" s="84"/>
      <c r="H49" s="85"/>
      <c r="I49" s="86">
        <f t="shared" si="12"/>
        <v>0</v>
      </c>
      <c r="J49" s="87">
        <f t="shared" si="1"/>
        <v>0</v>
      </c>
      <c r="K49" s="86">
        <f t="shared" si="9"/>
        <v>0</v>
      </c>
      <c r="L49" s="58">
        <f t="shared" si="13"/>
        <v>0</v>
      </c>
      <c r="M49" s="23">
        <f t="shared" si="3"/>
        <v>499.58077636400003</v>
      </c>
      <c r="N49" s="79">
        <f>LOOKUP(2,1/(H$22:H49&lt;&gt;""),H$22:H49)*IF(A$12=1,(1+LOOKUP(2,1/(H$22:H49&lt;&gt;""),H$22:H49)*J49/M$6),1)</f>
        <v>2.5</v>
      </c>
      <c r="O49" s="50">
        <f t="shared" si="14"/>
        <v>0</v>
      </c>
      <c r="P49" s="87">
        <f t="shared" si="15"/>
        <v>720</v>
      </c>
      <c r="Q49" s="82" t="e">
        <f t="shared" si="5"/>
        <v>#DIV/0!</v>
      </c>
      <c r="R49" s="88">
        <f t="shared" si="6"/>
        <v>0</v>
      </c>
      <c r="S49" s="82">
        <f t="shared" si="0"/>
        <v>0</v>
      </c>
      <c r="T49" s="88">
        <f t="shared" si="11"/>
        <v>0</v>
      </c>
      <c r="U49" s="87">
        <f t="shared" si="7"/>
        <v>0</v>
      </c>
      <c r="V49" s="86">
        <f>IF(OR(V$19=0,V$21=0,B49=0),0,2*(V$19-I49)-(V$19-I49)*((1+N49/(U$20*100))^(U$20*(SUM(J49:J$200)-T49)/Q$2)))</f>
        <v>0</v>
      </c>
      <c r="W49" s="86">
        <f>IF(B47=M$18,S$19,IF(B49=0,0,IF(A$10=1,IF(F50="z",SUM(U$23:U49)-SUM(W$23:W48),0),U49)))</f>
        <v>0</v>
      </c>
    </row>
    <row r="50" spans="2:23" x14ac:dyDescent="0.25">
      <c r="B50" s="23">
        <f>IF(AND(G50="",G51&gt;0)," ",IF(G50="",0,MAX(B$22:B49)+1))</f>
        <v>0</v>
      </c>
      <c r="C50" s="83">
        <f t="shared" si="8"/>
        <v>0</v>
      </c>
      <c r="D50" s="89"/>
      <c r="E50" s="33"/>
      <c r="F50" s="26"/>
      <c r="G50" s="84"/>
      <c r="H50" s="85"/>
      <c r="I50" s="86">
        <f t="shared" si="12"/>
        <v>0</v>
      </c>
      <c r="J50" s="87">
        <f t="shared" si="1"/>
        <v>0</v>
      </c>
      <c r="K50" s="86">
        <f t="shared" si="9"/>
        <v>0</v>
      </c>
      <c r="L50" s="58">
        <f t="shared" si="13"/>
        <v>0</v>
      </c>
      <c r="M50" s="23">
        <f t="shared" si="3"/>
        <v>499.58077636400003</v>
      </c>
      <c r="N50" s="79">
        <f>LOOKUP(2,1/(H$22:H50&lt;&gt;""),H$22:H50)*IF(A$12=1,(1+LOOKUP(2,1/(H$22:H50&lt;&gt;""),H$22:H50)*J50/M$6),1)</f>
        <v>2.5</v>
      </c>
      <c r="O50" s="50">
        <f t="shared" si="14"/>
        <v>0</v>
      </c>
      <c r="P50" s="87">
        <f t="shared" si="15"/>
        <v>720</v>
      </c>
      <c r="Q50" s="82" t="e">
        <f t="shared" si="5"/>
        <v>#DIV/0!</v>
      </c>
      <c r="R50" s="88">
        <f t="shared" si="6"/>
        <v>0</v>
      </c>
      <c r="S50" s="82">
        <f t="shared" si="0"/>
        <v>0</v>
      </c>
      <c r="T50" s="88">
        <f t="shared" si="11"/>
        <v>0</v>
      </c>
      <c r="U50" s="87">
        <f t="shared" si="7"/>
        <v>0</v>
      </c>
      <c r="V50" s="86">
        <f>IF(OR(V$19=0,V$21=0,B50=0),0,2*(V$19-I50)-(V$19-I50)*((1+N50/(U$20*100))^(U$20*(SUM(J50:J$200)-T50)/Q$2)))</f>
        <v>0</v>
      </c>
      <c r="W50" s="86">
        <f>IF(B48=M$18,S$19,IF(B50=0,0,IF(A$10=1,IF(F51="z",SUM(U$23:U50)-SUM(W$23:W49),0),U50)))</f>
        <v>0</v>
      </c>
    </row>
    <row r="51" spans="2:23" x14ac:dyDescent="0.25">
      <c r="B51" s="23">
        <f>IF(AND(G51="",G52&gt;0)," ",IF(G51="",0,MAX(B$22:B50)+1))</f>
        <v>0</v>
      </c>
      <c r="C51" s="83">
        <f t="shared" si="8"/>
        <v>0</v>
      </c>
      <c r="D51" s="40"/>
      <c r="E51" s="33"/>
      <c r="F51" s="26"/>
      <c r="G51" s="84"/>
      <c r="H51" s="85"/>
      <c r="I51" s="86">
        <f t="shared" si="12"/>
        <v>0</v>
      </c>
      <c r="J51" s="87">
        <f t="shared" si="1"/>
        <v>0</v>
      </c>
      <c r="K51" s="86">
        <f t="shared" si="9"/>
        <v>0</v>
      </c>
      <c r="L51" s="58">
        <f t="shared" si="13"/>
        <v>0</v>
      </c>
      <c r="M51" s="23">
        <f t="shared" si="3"/>
        <v>499.58077636400003</v>
      </c>
      <c r="N51" s="79">
        <f>LOOKUP(2,1/(H$22:H51&lt;&gt;""),H$22:H51)*IF(A$12=1,(1+LOOKUP(2,1/(H$22:H51&lt;&gt;""),H$22:H51)*J51/M$6),1)</f>
        <v>2.5</v>
      </c>
      <c r="O51" s="50">
        <f t="shared" si="14"/>
        <v>0</v>
      </c>
      <c r="P51" s="87">
        <f t="shared" si="15"/>
        <v>720</v>
      </c>
      <c r="Q51" s="82" t="e">
        <f t="shared" si="5"/>
        <v>#DIV/0!</v>
      </c>
      <c r="R51" s="88">
        <f t="shared" si="6"/>
        <v>0</v>
      </c>
      <c r="S51" s="82">
        <f t="shared" si="0"/>
        <v>0</v>
      </c>
      <c r="T51" s="88">
        <f t="shared" si="11"/>
        <v>0</v>
      </c>
      <c r="U51" s="87">
        <f t="shared" si="7"/>
        <v>0</v>
      </c>
      <c r="V51" s="86">
        <f>IF(OR(V$19=0,V$21=0,B51=0),0,2*(V$19-I51)-(V$19-I51)*((1+N51/(U$20*100))^(U$20*(SUM(J51:J$200)-T51)/Q$2)))</f>
        <v>0</v>
      </c>
      <c r="W51" s="86">
        <f>IF(B49=M$18,S$19,IF(B51=0,0,IF(A$10=1,IF(F52="z",SUM(U$23:U51)-SUM(W$23:W50),0),U51)))</f>
        <v>0</v>
      </c>
    </row>
    <row r="52" spans="2:23" x14ac:dyDescent="0.25">
      <c r="B52" s="23">
        <f>IF(AND(G52="",G53&gt;0)," ",IF(G52="",0,MAX(B$22:B51)+1))</f>
        <v>0</v>
      </c>
      <c r="C52" s="83">
        <f t="shared" si="8"/>
        <v>0</v>
      </c>
      <c r="D52" s="40"/>
      <c r="E52" s="33"/>
      <c r="F52" s="26"/>
      <c r="G52" s="84"/>
      <c r="H52" s="85"/>
      <c r="I52" s="86">
        <f t="shared" si="12"/>
        <v>0</v>
      </c>
      <c r="J52" s="87">
        <f t="shared" si="1"/>
        <v>0</v>
      </c>
      <c r="K52" s="86">
        <f t="shared" si="9"/>
        <v>0</v>
      </c>
      <c r="L52" s="58">
        <f t="shared" si="13"/>
        <v>0</v>
      </c>
      <c r="M52" s="23">
        <f t="shared" si="3"/>
        <v>499.58077636400003</v>
      </c>
      <c r="N52" s="79">
        <f>LOOKUP(2,1/(H$22:H52&lt;&gt;""),H$22:H52)*IF(A$12=1,(1+LOOKUP(2,1/(H$22:H52&lt;&gt;""),H$22:H52)*J52/M$6),1)</f>
        <v>2.5</v>
      </c>
      <c r="O52" s="50">
        <f t="shared" si="14"/>
        <v>0</v>
      </c>
      <c r="P52" s="87">
        <f t="shared" si="15"/>
        <v>720</v>
      </c>
      <c r="Q52" s="82" t="e">
        <f t="shared" si="5"/>
        <v>#DIV/0!</v>
      </c>
      <c r="R52" s="88">
        <f t="shared" si="6"/>
        <v>0</v>
      </c>
      <c r="S52" s="82">
        <f t="shared" si="0"/>
        <v>0</v>
      </c>
      <c r="T52" s="88">
        <f t="shared" si="11"/>
        <v>0</v>
      </c>
      <c r="U52" s="87">
        <f t="shared" si="7"/>
        <v>0</v>
      </c>
      <c r="V52" s="86">
        <f>IF(OR(V$19=0,V$21=0,B52=0),0,2*(V$19-I52)-(V$19-I52)*((1+N52/(U$20*100))^(U$20*(SUM(J52:J$200)-T52)/Q$2)))</f>
        <v>0</v>
      </c>
      <c r="W52" s="86">
        <f>IF(B50=M$18,S$19,IF(B52=0,0,IF(A$10=1,IF(F53="z",SUM(U$23:U52)-SUM(W$23:W51),0),U52)))</f>
        <v>0</v>
      </c>
    </row>
    <row r="53" spans="2:23" x14ac:dyDescent="0.25">
      <c r="B53" s="23">
        <f>IF(AND(G53="",G54&gt;0)," ",IF(G53="",0,MAX(B$22:B52)+1))</f>
        <v>0</v>
      </c>
      <c r="C53" s="83">
        <f t="shared" si="8"/>
        <v>0</v>
      </c>
      <c r="D53" s="40"/>
      <c r="E53" s="33"/>
      <c r="F53" s="26"/>
      <c r="G53" s="84"/>
      <c r="H53" s="85"/>
      <c r="I53" s="86">
        <f t="shared" si="12"/>
        <v>0</v>
      </c>
      <c r="J53" s="87">
        <f t="shared" si="1"/>
        <v>0</v>
      </c>
      <c r="K53" s="86">
        <f t="shared" si="9"/>
        <v>0</v>
      </c>
      <c r="L53" s="58">
        <f t="shared" si="13"/>
        <v>0</v>
      </c>
      <c r="M53" s="23">
        <f t="shared" si="3"/>
        <v>499.58077636400003</v>
      </c>
      <c r="N53" s="79">
        <f>LOOKUP(2,1/(H$22:H53&lt;&gt;""),H$22:H53)*IF(A$12=1,(1+LOOKUP(2,1/(H$22:H53&lt;&gt;""),H$22:H53)*J53/M$6),1)</f>
        <v>2.5</v>
      </c>
      <c r="O53" s="50">
        <f t="shared" si="14"/>
        <v>0</v>
      </c>
      <c r="P53" s="87">
        <f t="shared" si="15"/>
        <v>720</v>
      </c>
      <c r="Q53" s="82" t="e">
        <f t="shared" si="5"/>
        <v>#DIV/0!</v>
      </c>
      <c r="R53" s="88">
        <f t="shared" si="6"/>
        <v>0</v>
      </c>
      <c r="S53" s="82">
        <f t="shared" si="0"/>
        <v>0</v>
      </c>
      <c r="T53" s="88">
        <f t="shared" si="11"/>
        <v>0</v>
      </c>
      <c r="U53" s="87">
        <f t="shared" si="7"/>
        <v>0</v>
      </c>
      <c r="V53" s="86">
        <f>IF(OR(V$19=0,V$21=0,B53=0),0,2*(V$19-I53)-(V$19-I53)*((1+N53/(U$20*100))^(U$20*(SUM(J53:J$200)-T53)/Q$2)))</f>
        <v>0</v>
      </c>
      <c r="W53" s="86">
        <f>IF(B51=M$18,S$19,IF(B53=0,0,IF(A$10=1,IF(F54="z",SUM(U$23:U53)-SUM(W$23:W52),0),U53)))</f>
        <v>0</v>
      </c>
    </row>
    <row r="54" spans="2:23" x14ac:dyDescent="0.25">
      <c r="B54" s="23">
        <f>IF(AND(G54="",G55&gt;0)," ",IF(G54="",0,MAX(B$22:B53)+1))</f>
        <v>0</v>
      </c>
      <c r="C54" s="83">
        <f t="shared" si="8"/>
        <v>0</v>
      </c>
      <c r="D54" s="40"/>
      <c r="E54" s="33"/>
      <c r="F54" s="26"/>
      <c r="G54" s="84"/>
      <c r="H54" s="85"/>
      <c r="I54" s="86">
        <f t="shared" si="12"/>
        <v>0</v>
      </c>
      <c r="J54" s="87">
        <f t="shared" si="1"/>
        <v>0</v>
      </c>
      <c r="K54" s="86">
        <f t="shared" si="9"/>
        <v>0</v>
      </c>
      <c r="L54" s="58">
        <f t="shared" si="13"/>
        <v>0</v>
      </c>
      <c r="M54" s="23">
        <f t="shared" si="3"/>
        <v>499.58077636400003</v>
      </c>
      <c r="N54" s="79">
        <f>LOOKUP(2,1/(H$22:H54&lt;&gt;""),H$22:H54)*IF(A$12=1,(1+LOOKUP(2,1/(H$22:H54&lt;&gt;""),H$22:H54)*J54/M$6),1)</f>
        <v>2.5</v>
      </c>
      <c r="O54" s="50">
        <f t="shared" si="14"/>
        <v>0</v>
      </c>
      <c r="P54" s="87">
        <f t="shared" si="15"/>
        <v>720</v>
      </c>
      <c r="Q54" s="82" t="e">
        <f t="shared" si="5"/>
        <v>#DIV/0!</v>
      </c>
      <c r="R54" s="88">
        <f t="shared" si="6"/>
        <v>0</v>
      </c>
      <c r="S54" s="82">
        <f t="shared" si="0"/>
        <v>0</v>
      </c>
      <c r="T54" s="88">
        <f t="shared" si="11"/>
        <v>0</v>
      </c>
      <c r="U54" s="87">
        <f t="shared" si="7"/>
        <v>0</v>
      </c>
      <c r="V54" s="86">
        <f>IF(OR(V$19=0,V$21=0,B54=0),0,2*(V$19-I54)-(V$19-I54)*((1+N54/(U$20*100))^(U$20*(SUM(J54:J$200)-T54)/Q$2)))</f>
        <v>0</v>
      </c>
      <c r="W54" s="86">
        <f>IF(B52=M$18,S$19,IF(B54=0,0,IF(A$10=1,IF(F55="z",SUM(U$23:U54)-SUM(W$23:W53),0),U54)))</f>
        <v>0</v>
      </c>
    </row>
    <row r="55" spans="2:23" x14ac:dyDescent="0.25">
      <c r="B55" s="23">
        <f>IF(AND(G55="",G56&gt;0)," ",IF(G55="",0,MAX(B$22:B54)+1))</f>
        <v>0</v>
      </c>
      <c r="C55" s="83">
        <f t="shared" si="8"/>
        <v>0</v>
      </c>
      <c r="D55" s="40"/>
      <c r="E55" s="33"/>
      <c r="F55" s="26"/>
      <c r="G55" s="84"/>
      <c r="H55" s="85"/>
      <c r="I55" s="86">
        <f t="shared" si="12"/>
        <v>0</v>
      </c>
      <c r="J55" s="87">
        <f t="shared" si="1"/>
        <v>0</v>
      </c>
      <c r="K55" s="86">
        <f t="shared" si="9"/>
        <v>0</v>
      </c>
      <c r="L55" s="58">
        <f t="shared" si="13"/>
        <v>0</v>
      </c>
      <c r="M55" s="23">
        <f t="shared" si="3"/>
        <v>499.58077636400003</v>
      </c>
      <c r="N55" s="79">
        <f>LOOKUP(2,1/(H$22:H55&lt;&gt;""),H$22:H55)*IF(A$12=1,(1+LOOKUP(2,1/(H$22:H55&lt;&gt;""),H$22:H55)*J55/M$6),1)</f>
        <v>2.5</v>
      </c>
      <c r="O55" s="50">
        <f t="shared" si="14"/>
        <v>0</v>
      </c>
      <c r="P55" s="87">
        <f t="shared" si="15"/>
        <v>720</v>
      </c>
      <c r="Q55" s="82" t="e">
        <f t="shared" si="5"/>
        <v>#DIV/0!</v>
      </c>
      <c r="R55" s="88">
        <f t="shared" si="6"/>
        <v>0</v>
      </c>
      <c r="S55" s="82">
        <f t="shared" ref="S55:S86" si="16">IF(I$14=1,O55+S56/IF(J55=0,1,(1+I$13/(Q$2*100/J55))),(O55+S56)/IF(J55=0,1,(1+I$13/(Q$2*100/J55))))</f>
        <v>0</v>
      </c>
      <c r="T55" s="88">
        <f t="shared" si="11"/>
        <v>0</v>
      </c>
      <c r="U55" s="87">
        <f t="shared" si="7"/>
        <v>0</v>
      </c>
      <c r="V55" s="86">
        <f>IF(OR(V$19=0,V$21=0,B55=0),0,2*(V$19-I55)-(V$19-I55)*((1+N55/(U$20*100))^(U$20*(SUM(J55:J$200)-T55)/Q$2)))</f>
        <v>0</v>
      </c>
      <c r="W55" s="86">
        <f>IF(B53=M$18,S$19,IF(B55=0,0,IF(A$10=1,IF(F56="z",SUM(U$23:U55)-SUM(W$23:W54),0),U55)))</f>
        <v>0</v>
      </c>
    </row>
    <row r="56" spans="2:23" x14ac:dyDescent="0.25">
      <c r="B56" s="23">
        <f>IF(AND(G56="",G57&gt;0)," ",IF(G56="",0,MAX(B$22:B55)+1))</f>
        <v>0</v>
      </c>
      <c r="C56" s="83">
        <f t="shared" si="8"/>
        <v>0</v>
      </c>
      <c r="D56" s="40"/>
      <c r="E56" s="33"/>
      <c r="F56" s="26"/>
      <c r="G56" s="84"/>
      <c r="H56" s="85"/>
      <c r="I56" s="86">
        <f t="shared" si="12"/>
        <v>0</v>
      </c>
      <c r="J56" s="87">
        <f t="shared" ref="J56:J87" si="17">IF(B56=0,0,IF(B57=0,M$7,IF(A$11=1,360*(YEAR(G57)-YEAR(G56))+30*(MONTH(G57)-MONTH(G56))+IF(DAY(G57)&gt;DAY(G57+1),30,DAY(G57))-IF(DAY(G56)&gt;DAY(G56+1),30,DAY(G56)),G57-G56))-R56)</f>
        <v>0</v>
      </c>
      <c r="K56" s="86">
        <f t="shared" si="9"/>
        <v>0</v>
      </c>
      <c r="L56" s="58">
        <f t="shared" si="13"/>
        <v>0</v>
      </c>
      <c r="M56" s="23">
        <f t="shared" ref="M56:M87" si="18">M55+K56-L55</f>
        <v>499.58077636400003</v>
      </c>
      <c r="N56" s="79">
        <f>LOOKUP(2,1/(H$22:H56&lt;&gt;""),H$22:H56)*IF(A$12=1,(1+LOOKUP(2,1/(H$22:H56&lt;&gt;""),H$22:H56)*J56/M$6),1)</f>
        <v>2.5</v>
      </c>
      <c r="O56" s="50">
        <f t="shared" si="14"/>
        <v>0</v>
      </c>
      <c r="P56" s="87">
        <f t="shared" si="15"/>
        <v>720</v>
      </c>
      <c r="Q56" s="82" t="e">
        <f t="shared" si="5"/>
        <v>#DIV/0!</v>
      </c>
      <c r="R56" s="88">
        <f t="shared" si="6"/>
        <v>0</v>
      </c>
      <c r="S56" s="82">
        <f t="shared" si="16"/>
        <v>0</v>
      </c>
      <c r="T56" s="88">
        <f t="shared" si="11"/>
        <v>0</v>
      </c>
      <c r="U56" s="87">
        <f t="shared" si="7"/>
        <v>0</v>
      </c>
      <c r="V56" s="86">
        <f>IF(OR(V$19=0,V$21=0,B56=0),0,2*(V$19-I56)-(V$19-I56)*((1+N56/(U$20*100))^(U$20*(SUM(J56:J$200)-T56)/Q$2)))</f>
        <v>0</v>
      </c>
      <c r="W56" s="86">
        <f>IF(B54=M$18,S$19,IF(B56=0,0,IF(A$10=1,IF(F57="z",SUM(U$23:U56)-SUM(W$23:W55),0),U56)))</f>
        <v>0</v>
      </c>
    </row>
    <row r="57" spans="2:23" x14ac:dyDescent="0.25">
      <c r="B57" s="23">
        <f>IF(AND(G57="",G58&gt;0)," ",IF(G57="",0,MAX(B$22:B56)+1))</f>
        <v>0</v>
      </c>
      <c r="C57" s="83">
        <f t="shared" ref="C57:C88" si="19">IF(AND(B57=0,I57&lt;&gt;0,I57=E$17),M$1,0)</f>
        <v>0</v>
      </c>
      <c r="D57" s="40"/>
      <c r="E57" s="33"/>
      <c r="F57" s="26"/>
      <c r="G57" s="84"/>
      <c r="H57" s="85"/>
      <c r="I57" s="86">
        <f t="shared" si="12"/>
        <v>0</v>
      </c>
      <c r="J57" s="87">
        <f t="shared" si="17"/>
        <v>0</v>
      </c>
      <c r="K57" s="86">
        <f t="shared" si="9"/>
        <v>0</v>
      </c>
      <c r="L57" s="58">
        <f t="shared" si="13"/>
        <v>0</v>
      </c>
      <c r="M57" s="23">
        <f t="shared" si="18"/>
        <v>499.58077636400003</v>
      </c>
      <c r="N57" s="79">
        <f>LOOKUP(2,1/(H$22:H57&lt;&gt;""),H$22:H57)*IF(A$12=1,(1+LOOKUP(2,1/(H$22:H57&lt;&gt;""),H$22:H57)*J57/M$6),1)</f>
        <v>2.5</v>
      </c>
      <c r="O57" s="50">
        <f t="shared" ref="O57:O72" si="20">IF(B57=0,0,IF(M$3=3,0,E57)+IF(A$10=1,L57,K57))</f>
        <v>0</v>
      </c>
      <c r="P57" s="87">
        <f t="shared" si="15"/>
        <v>720</v>
      </c>
      <c r="Q57" s="82" t="e">
        <f t="shared" si="5"/>
        <v>#DIV/0!</v>
      </c>
      <c r="R57" s="88">
        <f t="shared" si="6"/>
        <v>0</v>
      </c>
      <c r="S57" s="82">
        <f t="shared" si="16"/>
        <v>0</v>
      </c>
      <c r="T57" s="88">
        <f t="shared" si="11"/>
        <v>0</v>
      </c>
      <c r="U57" s="87">
        <f t="shared" si="7"/>
        <v>0</v>
      </c>
      <c r="V57" s="86">
        <f>IF(OR(V$19=0,V$21=0,B57=0),0,2*(V$19-I57)-(V$19-I57)*((1+N57/(U$20*100))^(U$20*(SUM(J57:J$200)-T57)/Q$2)))</f>
        <v>0</v>
      </c>
      <c r="W57" s="86">
        <f>IF(B55=M$18,S$19,IF(B57=0,0,IF(A$10=1,IF(F58="z",SUM(U$23:U57)-SUM(W$23:W56),0),U57)))</f>
        <v>0</v>
      </c>
    </row>
    <row r="58" spans="2:23" x14ac:dyDescent="0.25">
      <c r="B58" s="23">
        <f>IF(AND(G58="",G59&gt;0)," ",IF(G58="",0,MAX(B$22:B57)+1))</f>
        <v>0</v>
      </c>
      <c r="C58" s="83">
        <f t="shared" si="19"/>
        <v>0</v>
      </c>
      <c r="D58" s="40"/>
      <c r="E58" s="33"/>
      <c r="F58" s="26"/>
      <c r="G58" s="84"/>
      <c r="H58" s="85"/>
      <c r="I58" s="86">
        <f t="shared" si="12"/>
        <v>0</v>
      </c>
      <c r="J58" s="87">
        <f t="shared" si="17"/>
        <v>0</v>
      </c>
      <c r="K58" s="86">
        <f t="shared" si="9"/>
        <v>0</v>
      </c>
      <c r="L58" s="58">
        <f t="shared" si="13"/>
        <v>0</v>
      </c>
      <c r="M58" s="23">
        <f t="shared" si="18"/>
        <v>499.58077636400003</v>
      </c>
      <c r="N58" s="79">
        <f>LOOKUP(2,1/(H$22:H58&lt;&gt;""),H$22:H58)*IF(A$12=1,(1+LOOKUP(2,1/(H$22:H58&lt;&gt;""),H$22:H58)*J58/M$6),1)</f>
        <v>2.5</v>
      </c>
      <c r="O58" s="50">
        <f t="shared" si="20"/>
        <v>0</v>
      </c>
      <c r="P58" s="87">
        <f t="shared" si="15"/>
        <v>720</v>
      </c>
      <c r="Q58" s="82" t="e">
        <f t="shared" si="5"/>
        <v>#DIV/0!</v>
      </c>
      <c r="R58" s="88">
        <f t="shared" si="6"/>
        <v>0</v>
      </c>
      <c r="S58" s="82">
        <f t="shared" si="16"/>
        <v>0</v>
      </c>
      <c r="T58" s="88">
        <f t="shared" si="11"/>
        <v>0</v>
      </c>
      <c r="U58" s="87">
        <f t="shared" si="7"/>
        <v>0</v>
      </c>
      <c r="V58" s="86">
        <f>IF(OR(V$19=0,V$21=0,B58=0),0,2*(V$19-I58)-(V$19-I58)*((1+N58/(U$20*100))^(U$20*(SUM(J58:J$200)-T58)/Q$2)))</f>
        <v>0</v>
      </c>
      <c r="W58" s="86">
        <f>IF(B56=M$18,S$19,IF(B58=0,0,IF(A$10=1,IF(F59="z",SUM(U$23:U58)-SUM(W$23:W57),0),U58)))</f>
        <v>0</v>
      </c>
    </row>
    <row r="59" spans="2:23" x14ac:dyDescent="0.25">
      <c r="B59" s="23">
        <f>IF(AND(G59="",G60&gt;0)," ",IF(G59="",0,MAX(B$22:B58)+1))</f>
        <v>0</v>
      </c>
      <c r="C59" s="83">
        <f t="shared" si="19"/>
        <v>0</v>
      </c>
      <c r="D59" s="40"/>
      <c r="E59" s="33"/>
      <c r="F59" s="26"/>
      <c r="G59" s="84"/>
      <c r="H59" s="85"/>
      <c r="I59" s="86">
        <f t="shared" si="12"/>
        <v>0</v>
      </c>
      <c r="J59" s="87">
        <f t="shared" si="17"/>
        <v>0</v>
      </c>
      <c r="K59" s="86">
        <f t="shared" si="9"/>
        <v>0</v>
      </c>
      <c r="L59" s="58">
        <f t="shared" si="13"/>
        <v>0</v>
      </c>
      <c r="M59" s="23">
        <f t="shared" si="18"/>
        <v>499.58077636400003</v>
      </c>
      <c r="N59" s="79">
        <f>LOOKUP(2,1/(H$22:H59&lt;&gt;""),H$22:H59)*IF(A$12=1,(1+LOOKUP(2,1/(H$22:H59&lt;&gt;""),H$22:H59)*J59/M$6),1)</f>
        <v>2.5</v>
      </c>
      <c r="O59" s="50">
        <f t="shared" si="20"/>
        <v>0</v>
      </c>
      <c r="P59" s="87">
        <f t="shared" si="15"/>
        <v>720</v>
      </c>
      <c r="Q59" s="82" t="e">
        <f t="shared" si="5"/>
        <v>#DIV/0!</v>
      </c>
      <c r="R59" s="88">
        <f t="shared" si="6"/>
        <v>0</v>
      </c>
      <c r="S59" s="82">
        <f t="shared" si="16"/>
        <v>0</v>
      </c>
      <c r="T59" s="88">
        <f t="shared" si="11"/>
        <v>0</v>
      </c>
      <c r="U59" s="87">
        <f t="shared" si="7"/>
        <v>0</v>
      </c>
      <c r="V59" s="86">
        <f>IF(OR(V$19=0,V$21=0,B59=0),0,2*(V$19-I59)-(V$19-I59)*((1+N59/(U$20*100))^(U$20*(SUM(J59:J$200)-T59)/Q$2)))</f>
        <v>0</v>
      </c>
      <c r="W59" s="86">
        <f>IF(B57=M$18,S$19,IF(B59=0,0,IF(A$10=1,IF(F60="z",SUM(U$23:U59)-SUM(W$23:W58),0),U59)))</f>
        <v>0</v>
      </c>
    </row>
    <row r="60" spans="2:23" x14ac:dyDescent="0.25">
      <c r="B60" s="23">
        <f>IF(AND(G60="",G61&gt;0)," ",IF(G60="",0,MAX(B$22:B59)+1))</f>
        <v>0</v>
      </c>
      <c r="C60" s="83">
        <f t="shared" si="19"/>
        <v>0</v>
      </c>
      <c r="D60" s="40"/>
      <c r="E60" s="33"/>
      <c r="F60" s="26"/>
      <c r="G60" s="84"/>
      <c r="H60" s="85"/>
      <c r="I60" s="86">
        <f t="shared" si="12"/>
        <v>0</v>
      </c>
      <c r="J60" s="87">
        <f t="shared" si="17"/>
        <v>0</v>
      </c>
      <c r="K60" s="86">
        <f t="shared" si="9"/>
        <v>0</v>
      </c>
      <c r="L60" s="58">
        <f t="shared" si="13"/>
        <v>0</v>
      </c>
      <c r="M60" s="23">
        <f t="shared" si="18"/>
        <v>499.58077636400003</v>
      </c>
      <c r="N60" s="79">
        <f>LOOKUP(2,1/(H$22:H60&lt;&gt;""),H$22:H60)*IF(A$12=1,(1+LOOKUP(2,1/(H$22:H60&lt;&gt;""),H$22:H60)*J60/M$6),1)</f>
        <v>2.5</v>
      </c>
      <c r="O60" s="50">
        <f t="shared" si="20"/>
        <v>0</v>
      </c>
      <c r="P60" s="87">
        <f t="shared" si="15"/>
        <v>720</v>
      </c>
      <c r="Q60" s="82" t="e">
        <f t="shared" si="5"/>
        <v>#DIV/0!</v>
      </c>
      <c r="R60" s="88">
        <f t="shared" si="6"/>
        <v>0</v>
      </c>
      <c r="S60" s="82">
        <f t="shared" si="16"/>
        <v>0</v>
      </c>
      <c r="T60" s="88">
        <f t="shared" si="11"/>
        <v>0</v>
      </c>
      <c r="U60" s="87">
        <f t="shared" si="7"/>
        <v>0</v>
      </c>
      <c r="V60" s="86">
        <f>IF(OR(V$19=0,V$21=0,B60=0),0,2*(V$19-I60)-(V$19-I60)*((1+N60/(U$20*100))^(U$20*(SUM(J60:J$200)-T60)/Q$2)))</f>
        <v>0</v>
      </c>
      <c r="W60" s="86">
        <f>IF(B58=M$18,S$19,IF(B60=0,0,IF(A$10=1,IF(F61="z",SUM(U$23:U60)-SUM(W$23:W59),0),U60)))</f>
        <v>0</v>
      </c>
    </row>
    <row r="61" spans="2:23" x14ac:dyDescent="0.25">
      <c r="B61" s="23">
        <f>IF(AND(G61="",G62&gt;0)," ",IF(G61="",0,MAX(B$22:B60)+1))</f>
        <v>0</v>
      </c>
      <c r="C61" s="83">
        <f t="shared" si="19"/>
        <v>0</v>
      </c>
      <c r="D61" s="40"/>
      <c r="E61" s="33"/>
      <c r="F61" s="26"/>
      <c r="G61" s="84"/>
      <c r="H61" s="85"/>
      <c r="I61" s="86">
        <f t="shared" si="12"/>
        <v>0</v>
      </c>
      <c r="J61" s="87">
        <f t="shared" si="17"/>
        <v>0</v>
      </c>
      <c r="K61" s="86">
        <f t="shared" si="9"/>
        <v>0</v>
      </c>
      <c r="L61" s="58">
        <f t="shared" si="13"/>
        <v>0</v>
      </c>
      <c r="M61" s="23">
        <f t="shared" si="18"/>
        <v>499.58077636400003</v>
      </c>
      <c r="N61" s="79">
        <f>LOOKUP(2,1/(H$22:H61&lt;&gt;""),H$22:H61)*IF(A$12=1,(1+LOOKUP(2,1/(H$22:H61&lt;&gt;""),H$22:H61)*J61/M$6),1)</f>
        <v>2.5</v>
      </c>
      <c r="O61" s="50">
        <f t="shared" si="20"/>
        <v>0</v>
      </c>
      <c r="P61" s="87">
        <f t="shared" si="15"/>
        <v>720</v>
      </c>
      <c r="Q61" s="82" t="e">
        <f t="shared" si="5"/>
        <v>#DIV/0!</v>
      </c>
      <c r="R61" s="88">
        <f t="shared" si="6"/>
        <v>0</v>
      </c>
      <c r="S61" s="82">
        <f t="shared" si="16"/>
        <v>0</v>
      </c>
      <c r="T61" s="88">
        <f t="shared" si="11"/>
        <v>0</v>
      </c>
      <c r="U61" s="87">
        <f t="shared" si="7"/>
        <v>0</v>
      </c>
      <c r="V61" s="86">
        <f>IF(OR(V$19=0,V$21=0,B61=0),0,2*(V$19-I61)-(V$19-I61)*((1+N61/(U$20*100))^(U$20*(SUM(J61:J$200)-T61)/Q$2)))</f>
        <v>0</v>
      </c>
      <c r="W61" s="86">
        <f>IF(B59=M$18,S$19,IF(B61=0,0,IF(A$10=1,IF(F62="z",SUM(U$23:U61)-SUM(W$23:W60),0),U61)))</f>
        <v>0</v>
      </c>
    </row>
    <row r="62" spans="2:23" x14ac:dyDescent="0.25">
      <c r="B62" s="23">
        <f>IF(AND(G62="",G63&gt;0)," ",IF(G62="",0,MAX(B$22:B61)+1))</f>
        <v>0</v>
      </c>
      <c r="C62" s="83">
        <f t="shared" si="19"/>
        <v>0</v>
      </c>
      <c r="D62" s="40"/>
      <c r="E62" s="33"/>
      <c r="F62" s="26"/>
      <c r="G62" s="84"/>
      <c r="H62" s="85"/>
      <c r="I62" s="86">
        <f t="shared" si="12"/>
        <v>0</v>
      </c>
      <c r="J62" s="87">
        <f t="shared" si="17"/>
        <v>0</v>
      </c>
      <c r="K62" s="86">
        <f t="shared" si="9"/>
        <v>0</v>
      </c>
      <c r="L62" s="58">
        <f t="shared" si="13"/>
        <v>0</v>
      </c>
      <c r="M62" s="23">
        <f t="shared" si="18"/>
        <v>499.58077636400003</v>
      </c>
      <c r="N62" s="79">
        <f>LOOKUP(2,1/(H$22:H62&lt;&gt;""),H$22:H62)*IF(A$12=1,(1+LOOKUP(2,1/(H$22:H62&lt;&gt;""),H$22:H62)*J62/M$6),1)</f>
        <v>2.5</v>
      </c>
      <c r="O62" s="50">
        <f t="shared" si="20"/>
        <v>0</v>
      </c>
      <c r="P62" s="87">
        <f t="shared" si="15"/>
        <v>720</v>
      </c>
      <c r="Q62" s="82" t="e">
        <f t="shared" si="5"/>
        <v>#DIV/0!</v>
      </c>
      <c r="R62" s="88">
        <f t="shared" si="6"/>
        <v>0</v>
      </c>
      <c r="S62" s="82">
        <f t="shared" si="16"/>
        <v>0</v>
      </c>
      <c r="T62" s="88">
        <f t="shared" si="11"/>
        <v>0</v>
      </c>
      <c r="U62" s="87">
        <f t="shared" si="7"/>
        <v>0</v>
      </c>
      <c r="V62" s="86">
        <f>IF(OR(V$19=0,V$21=0,B62=0),0,2*(V$19-I62)-(V$19-I62)*((1+N62/(U$20*100))^(U$20*(SUM(J62:J$200)-T62)/Q$2)))</f>
        <v>0</v>
      </c>
      <c r="W62" s="86">
        <f>IF(B60=M$18,S$19,IF(B62=0,0,IF(A$10=1,IF(F63="z",SUM(U$23:U62)-SUM(W$23:W61),0),U62)))</f>
        <v>0</v>
      </c>
    </row>
    <row r="63" spans="2:23" x14ac:dyDescent="0.25">
      <c r="B63" s="23">
        <f>IF(AND(G63="",G64&gt;0)," ",IF(G63="",0,MAX(B$22:B62)+1))</f>
        <v>0</v>
      </c>
      <c r="C63" s="83">
        <f t="shared" si="19"/>
        <v>0</v>
      </c>
      <c r="D63" s="40"/>
      <c r="E63" s="33"/>
      <c r="F63" s="26"/>
      <c r="G63" s="84"/>
      <c r="H63" s="85"/>
      <c r="I63" s="86">
        <f t="shared" si="12"/>
        <v>0</v>
      </c>
      <c r="J63" s="87">
        <f t="shared" si="17"/>
        <v>0</v>
      </c>
      <c r="K63" s="86">
        <f t="shared" si="9"/>
        <v>0</v>
      </c>
      <c r="L63" s="58">
        <f t="shared" si="13"/>
        <v>0</v>
      </c>
      <c r="M63" s="23">
        <f t="shared" si="18"/>
        <v>499.58077636400003</v>
      </c>
      <c r="N63" s="79">
        <f>LOOKUP(2,1/(H$22:H63&lt;&gt;""),H$22:H63)*IF(A$12=1,(1+LOOKUP(2,1/(H$22:H63&lt;&gt;""),H$22:H63)*J63/M$6),1)</f>
        <v>2.5</v>
      </c>
      <c r="O63" s="50">
        <f t="shared" si="20"/>
        <v>0</v>
      </c>
      <c r="P63" s="87">
        <f t="shared" si="15"/>
        <v>720</v>
      </c>
      <c r="Q63" s="82" t="e">
        <f t="shared" si="5"/>
        <v>#DIV/0!</v>
      </c>
      <c r="R63" s="88">
        <f t="shared" si="6"/>
        <v>0</v>
      </c>
      <c r="S63" s="82">
        <f t="shared" si="16"/>
        <v>0</v>
      </c>
      <c r="T63" s="88">
        <f t="shared" si="11"/>
        <v>0</v>
      </c>
      <c r="U63" s="87">
        <f t="shared" si="7"/>
        <v>0</v>
      </c>
      <c r="V63" s="86">
        <f>IF(OR(V$19=0,V$21=0,B63=0),0,2*(V$19-I63)-(V$19-I63)*((1+N63/(U$20*100))^(U$20*(SUM(J63:J$200)-T63)/Q$2)))</f>
        <v>0</v>
      </c>
      <c r="W63" s="86">
        <f>IF(B61=M$18,S$19,IF(B63=0,0,IF(A$10=1,IF(F64="z",SUM(U$23:U63)-SUM(W$23:W62),0),U63)))</f>
        <v>0</v>
      </c>
    </row>
    <row r="64" spans="2:23" x14ac:dyDescent="0.25">
      <c r="B64" s="23">
        <f>IF(AND(G64="",G65&gt;0)," ",IF(G64="",0,MAX(B$22:B63)+1))</f>
        <v>0</v>
      </c>
      <c r="C64" s="83">
        <f t="shared" si="19"/>
        <v>0</v>
      </c>
      <c r="D64" s="40"/>
      <c r="E64" s="33"/>
      <c r="F64" s="26"/>
      <c r="G64" s="84"/>
      <c r="H64" s="85"/>
      <c r="I64" s="86">
        <f t="shared" si="12"/>
        <v>0</v>
      </c>
      <c r="J64" s="87">
        <f t="shared" si="17"/>
        <v>0</v>
      </c>
      <c r="K64" s="86">
        <f t="shared" si="9"/>
        <v>0</v>
      </c>
      <c r="L64" s="58">
        <f t="shared" si="13"/>
        <v>0</v>
      </c>
      <c r="M64" s="23">
        <f t="shared" si="18"/>
        <v>499.58077636400003</v>
      </c>
      <c r="N64" s="79">
        <f>LOOKUP(2,1/(H$22:H64&lt;&gt;""),H$22:H64)*IF(A$12=1,(1+LOOKUP(2,1/(H$22:H64&lt;&gt;""),H$22:H64)*J64/M$6),1)</f>
        <v>2.5</v>
      </c>
      <c r="O64" s="50">
        <f t="shared" si="20"/>
        <v>0</v>
      </c>
      <c r="P64" s="87">
        <f t="shared" si="15"/>
        <v>720</v>
      </c>
      <c r="Q64" s="82" t="e">
        <f t="shared" si="5"/>
        <v>#DIV/0!</v>
      </c>
      <c r="R64" s="88">
        <f t="shared" si="6"/>
        <v>0</v>
      </c>
      <c r="S64" s="82">
        <f t="shared" si="16"/>
        <v>0</v>
      </c>
      <c r="T64" s="88">
        <f t="shared" si="11"/>
        <v>0</v>
      </c>
      <c r="U64" s="87">
        <f t="shared" si="7"/>
        <v>0</v>
      </c>
      <c r="V64" s="86">
        <f>IF(OR(V$19=0,V$21=0,B64=0),0,2*(V$19-I64)-(V$19-I64)*((1+N64/(U$20*100))^(U$20*(SUM(J64:J$200)-T64)/Q$2)))</f>
        <v>0</v>
      </c>
      <c r="W64" s="86">
        <f>IF(B62=M$18,S$19,IF(B64=0,0,IF(A$10=1,IF(F65="z",SUM(U$23:U64)-SUM(W$23:W63),0),U64)))</f>
        <v>0</v>
      </c>
    </row>
    <row r="65" spans="2:23" x14ac:dyDescent="0.25">
      <c r="B65" s="23">
        <f>IF(AND(G65="",G66&gt;0)," ",IF(G65="",0,MAX(B$22:B64)+1))</f>
        <v>0</v>
      </c>
      <c r="C65" s="83">
        <f t="shared" si="19"/>
        <v>0</v>
      </c>
      <c r="D65" s="40"/>
      <c r="E65" s="33"/>
      <c r="F65" s="26"/>
      <c r="G65" s="84"/>
      <c r="H65" s="85"/>
      <c r="I65" s="86">
        <f t="shared" si="12"/>
        <v>0</v>
      </c>
      <c r="J65" s="87">
        <f t="shared" si="17"/>
        <v>0</v>
      </c>
      <c r="K65" s="86">
        <f t="shared" si="9"/>
        <v>0</v>
      </c>
      <c r="L65" s="58">
        <f t="shared" si="13"/>
        <v>0</v>
      </c>
      <c r="M65" s="23">
        <f t="shared" si="18"/>
        <v>499.58077636400003</v>
      </c>
      <c r="N65" s="79">
        <f>LOOKUP(2,1/(H$22:H65&lt;&gt;""),H$22:H65)*IF(A$12=1,(1+LOOKUP(2,1/(H$22:H65&lt;&gt;""),H$22:H65)*J65/M$6),1)</f>
        <v>2.5</v>
      </c>
      <c r="O65" s="50">
        <f t="shared" si="20"/>
        <v>0</v>
      </c>
      <c r="P65" s="87">
        <f t="shared" si="15"/>
        <v>720</v>
      </c>
      <c r="Q65" s="82" t="e">
        <f t="shared" si="5"/>
        <v>#DIV/0!</v>
      </c>
      <c r="R65" s="88">
        <f t="shared" si="6"/>
        <v>0</v>
      </c>
      <c r="S65" s="82">
        <f t="shared" si="16"/>
        <v>0</v>
      </c>
      <c r="T65" s="88">
        <f t="shared" si="11"/>
        <v>0</v>
      </c>
      <c r="U65" s="87">
        <f t="shared" si="7"/>
        <v>0</v>
      </c>
      <c r="V65" s="86">
        <f>IF(OR(V$19=0,V$21=0,B65=0),0,2*(V$19-I65)-(V$19-I65)*((1+N65/(U$20*100))^(U$20*(SUM(J65:J$200)-T65)/Q$2)))</f>
        <v>0</v>
      </c>
      <c r="W65" s="86">
        <f>IF(B63=M$18,S$19,IF(B65=0,0,IF(A$10=1,IF(F66="z",SUM(U$23:U65)-SUM(W$23:W64),0),U65)))</f>
        <v>0</v>
      </c>
    </row>
    <row r="66" spans="2:23" x14ac:dyDescent="0.25">
      <c r="B66" s="23">
        <f>IF(AND(G66="",G67&gt;0)," ",IF(G66="",0,MAX(B$22:B65)+1))</f>
        <v>0</v>
      </c>
      <c r="C66" s="83">
        <f t="shared" si="19"/>
        <v>0</v>
      </c>
      <c r="D66" s="40"/>
      <c r="E66" s="33"/>
      <c r="F66" s="26"/>
      <c r="G66" s="84"/>
      <c r="H66" s="85"/>
      <c r="I66" s="86">
        <f t="shared" si="12"/>
        <v>0</v>
      </c>
      <c r="J66" s="87">
        <f t="shared" si="17"/>
        <v>0</v>
      </c>
      <c r="K66" s="86">
        <f t="shared" si="9"/>
        <v>0</v>
      </c>
      <c r="L66" s="58">
        <f t="shared" si="13"/>
        <v>0</v>
      </c>
      <c r="M66" s="23">
        <f t="shared" si="18"/>
        <v>499.58077636400003</v>
      </c>
      <c r="N66" s="79">
        <f>LOOKUP(2,1/(H$22:H66&lt;&gt;""),H$22:H66)*IF(A$12=1,(1+LOOKUP(2,1/(H$22:H66&lt;&gt;""),H$22:H66)*J66/M$6),1)</f>
        <v>2.5</v>
      </c>
      <c r="O66" s="50">
        <f t="shared" si="20"/>
        <v>0</v>
      </c>
      <c r="P66" s="87">
        <f t="shared" si="15"/>
        <v>720</v>
      </c>
      <c r="Q66" s="82" t="e">
        <f t="shared" si="5"/>
        <v>#DIV/0!</v>
      </c>
      <c r="R66" s="88">
        <f t="shared" si="6"/>
        <v>0</v>
      </c>
      <c r="S66" s="82">
        <f t="shared" si="16"/>
        <v>0</v>
      </c>
      <c r="T66" s="88">
        <f t="shared" si="11"/>
        <v>0</v>
      </c>
      <c r="U66" s="87">
        <f t="shared" si="7"/>
        <v>0</v>
      </c>
      <c r="V66" s="86">
        <f>IF(OR(V$19=0,V$21=0,B66=0),0,2*(V$19-I66)-(V$19-I66)*((1+N66/(U$20*100))^(U$20*(SUM(J66:J$200)-T66)/Q$2)))</f>
        <v>0</v>
      </c>
      <c r="W66" s="86">
        <f>IF(B64=M$18,S$19,IF(B66=0,0,IF(A$10=1,IF(F67="z",SUM(U$23:U66)-SUM(W$23:W65),0),U66)))</f>
        <v>0</v>
      </c>
    </row>
    <row r="67" spans="2:23" x14ac:dyDescent="0.25">
      <c r="B67" s="23">
        <f>IF(AND(G67="",G68&gt;0)," ",IF(G67="",0,MAX(B$22:B66)+1))</f>
        <v>0</v>
      </c>
      <c r="C67" s="83">
        <f t="shared" si="19"/>
        <v>0</v>
      </c>
      <c r="D67" s="40"/>
      <c r="E67" s="33"/>
      <c r="F67" s="26"/>
      <c r="G67" s="84"/>
      <c r="H67" s="85"/>
      <c r="I67" s="86">
        <f t="shared" si="12"/>
        <v>0</v>
      </c>
      <c r="J67" s="87">
        <f t="shared" si="17"/>
        <v>0</v>
      </c>
      <c r="K67" s="86">
        <f t="shared" si="9"/>
        <v>0</v>
      </c>
      <c r="L67" s="58">
        <f t="shared" si="13"/>
        <v>0</v>
      </c>
      <c r="M67" s="23">
        <f t="shared" si="18"/>
        <v>499.58077636400003</v>
      </c>
      <c r="N67" s="79">
        <f>LOOKUP(2,1/(H$22:H67&lt;&gt;""),H$22:H67)*IF(A$12=1,(1+LOOKUP(2,1/(H$22:H67&lt;&gt;""),H$22:H67)*J67/M$6),1)</f>
        <v>2.5</v>
      </c>
      <c r="O67" s="50">
        <f t="shared" si="20"/>
        <v>0</v>
      </c>
      <c r="P67" s="87">
        <f t="shared" si="15"/>
        <v>720</v>
      </c>
      <c r="Q67" s="82" t="e">
        <f t="shared" si="5"/>
        <v>#DIV/0!</v>
      </c>
      <c r="R67" s="88">
        <f t="shared" si="6"/>
        <v>0</v>
      </c>
      <c r="S67" s="82">
        <f t="shared" si="16"/>
        <v>0</v>
      </c>
      <c r="T67" s="88">
        <f t="shared" si="11"/>
        <v>0</v>
      </c>
      <c r="U67" s="87">
        <f t="shared" si="7"/>
        <v>0</v>
      </c>
      <c r="V67" s="86">
        <f>IF(OR(V$19=0,V$21=0,B67=0),0,2*(V$19-I67)-(V$19-I67)*((1+N67/(U$20*100))^(U$20*(SUM(J67:J$200)-T67)/Q$2)))</f>
        <v>0</v>
      </c>
      <c r="W67" s="86">
        <f>IF(B65=M$18,S$19,IF(B67=0,0,IF(A$10=1,IF(F68="z",SUM(U$23:U67)-SUM(W$23:W66),0),U67)))</f>
        <v>0</v>
      </c>
    </row>
    <row r="68" spans="2:23" x14ac:dyDescent="0.25">
      <c r="B68" s="23">
        <f>IF(AND(G68="",G69&gt;0)," ",IF(G68="",0,MAX(B$22:B67)+1))</f>
        <v>0</v>
      </c>
      <c r="C68" s="83">
        <f t="shared" si="19"/>
        <v>0</v>
      </c>
      <c r="D68" s="40"/>
      <c r="E68" s="33"/>
      <c r="F68" s="26"/>
      <c r="G68" s="84"/>
      <c r="H68" s="85"/>
      <c r="I68" s="86">
        <f t="shared" si="12"/>
        <v>0</v>
      </c>
      <c r="J68" s="87">
        <f t="shared" si="17"/>
        <v>0</v>
      </c>
      <c r="K68" s="86">
        <f t="shared" si="9"/>
        <v>0</v>
      </c>
      <c r="L68" s="58">
        <f t="shared" si="13"/>
        <v>0</v>
      </c>
      <c r="M68" s="23">
        <f t="shared" si="18"/>
        <v>499.58077636400003</v>
      </c>
      <c r="N68" s="79">
        <f>LOOKUP(2,1/(H$22:H68&lt;&gt;""),H$22:H68)*IF(A$12=1,(1+LOOKUP(2,1/(H$22:H68&lt;&gt;""),H$22:H68)*J68/M$6),1)</f>
        <v>2.5</v>
      </c>
      <c r="O68" s="50">
        <f t="shared" si="20"/>
        <v>0</v>
      </c>
      <c r="P68" s="87">
        <f t="shared" si="15"/>
        <v>720</v>
      </c>
      <c r="Q68" s="82" t="e">
        <f t="shared" si="5"/>
        <v>#DIV/0!</v>
      </c>
      <c r="R68" s="88">
        <f t="shared" si="6"/>
        <v>0</v>
      </c>
      <c r="S68" s="82">
        <f t="shared" si="16"/>
        <v>0</v>
      </c>
      <c r="T68" s="88">
        <f t="shared" si="11"/>
        <v>0</v>
      </c>
      <c r="U68" s="87">
        <f t="shared" si="7"/>
        <v>0</v>
      </c>
      <c r="V68" s="86">
        <f>IF(OR(V$19=0,V$21=0,B68=0),0,2*(V$19-I68)-(V$19-I68)*((1+N68/(U$20*100))^(U$20*(SUM(J68:J$200)-T68)/Q$2)))</f>
        <v>0</v>
      </c>
      <c r="W68" s="86">
        <f>IF(B66=M$18,S$19,IF(B68=0,0,IF(A$10=1,IF(F69="z",SUM(U$23:U68)-SUM(W$23:W67),0),U68)))</f>
        <v>0</v>
      </c>
    </row>
    <row r="69" spans="2:23" x14ac:dyDescent="0.25">
      <c r="B69" s="23">
        <f>IF(AND(G69="",G70&gt;0)," ",IF(G69="",0,MAX(B$22:B68)+1))</f>
        <v>0</v>
      </c>
      <c r="C69" s="83">
        <f t="shared" si="19"/>
        <v>0</v>
      </c>
      <c r="D69" s="40"/>
      <c r="E69" s="33"/>
      <c r="F69" s="26"/>
      <c r="G69" s="84"/>
      <c r="H69" s="85"/>
      <c r="I69" s="86">
        <f t="shared" si="12"/>
        <v>0</v>
      </c>
      <c r="J69" s="87">
        <f t="shared" si="17"/>
        <v>0</v>
      </c>
      <c r="K69" s="86">
        <f t="shared" si="9"/>
        <v>0</v>
      </c>
      <c r="L69" s="58">
        <f t="shared" si="13"/>
        <v>0</v>
      </c>
      <c r="M69" s="23">
        <f t="shared" si="18"/>
        <v>499.58077636400003</v>
      </c>
      <c r="N69" s="79">
        <f>LOOKUP(2,1/(H$22:H69&lt;&gt;""),H$22:H69)*IF(A$12=1,(1+LOOKUP(2,1/(H$22:H69&lt;&gt;""),H$22:H69)*J69/M$6),1)</f>
        <v>2.5</v>
      </c>
      <c r="O69" s="50">
        <f t="shared" si="20"/>
        <v>0</v>
      </c>
      <c r="P69" s="87">
        <f t="shared" si="15"/>
        <v>720</v>
      </c>
      <c r="Q69" s="82" t="e">
        <f t="shared" si="5"/>
        <v>#DIV/0!</v>
      </c>
      <c r="R69" s="88">
        <f t="shared" si="6"/>
        <v>0</v>
      </c>
      <c r="S69" s="82">
        <f t="shared" si="16"/>
        <v>0</v>
      </c>
      <c r="T69" s="88">
        <f t="shared" si="11"/>
        <v>0</v>
      </c>
      <c r="U69" s="87">
        <f t="shared" si="7"/>
        <v>0</v>
      </c>
      <c r="V69" s="86">
        <f>IF(OR(V$19=0,V$21=0,B69=0),0,2*(V$19-I69)-(V$19-I69)*((1+N69/(U$20*100))^(U$20*(SUM(J69:J$200)-T69)/Q$2)))</f>
        <v>0</v>
      </c>
      <c r="W69" s="86">
        <f>IF(B67=M$18,S$19,IF(B69=0,0,IF(A$10=1,IF(F70="z",SUM(U$23:U69)-SUM(W$23:W68),0),U69)))</f>
        <v>0</v>
      </c>
    </row>
    <row r="70" spans="2:23" x14ac:dyDescent="0.25">
      <c r="B70" s="23">
        <f>IF(AND(G70="",G71&gt;0)," ",IF(G70="",0,MAX(B$22:B69)+1))</f>
        <v>0</v>
      </c>
      <c r="C70" s="83">
        <f t="shared" si="19"/>
        <v>0</v>
      </c>
      <c r="D70" s="40"/>
      <c r="E70" s="33"/>
      <c r="F70" s="26"/>
      <c r="G70" s="84"/>
      <c r="H70" s="85"/>
      <c r="I70" s="86">
        <f t="shared" si="12"/>
        <v>0</v>
      </c>
      <c r="J70" s="87">
        <f t="shared" si="17"/>
        <v>0</v>
      </c>
      <c r="K70" s="86">
        <f t="shared" si="9"/>
        <v>0</v>
      </c>
      <c r="L70" s="58">
        <f t="shared" ref="L70:L105" si="21">IF(B70=0,0,IF(AND(A$10=1,OR(B71=0,F71="z",AND(G72=0,G$9=0))),M70,0))</f>
        <v>0</v>
      </c>
      <c r="M70" s="23">
        <f t="shared" si="18"/>
        <v>499.58077636400003</v>
      </c>
      <c r="N70" s="79">
        <f>LOOKUP(2,1/(H$22:H70&lt;&gt;""),H$22:H70)*IF(A$12=1,(1+LOOKUP(2,1/(H$22:H70&lt;&gt;""),H$22:H70)*J70/M$6),1)</f>
        <v>2.5</v>
      </c>
      <c r="O70" s="50">
        <f t="shared" si="20"/>
        <v>0</v>
      </c>
      <c r="P70" s="87">
        <f t="shared" si="15"/>
        <v>720</v>
      </c>
      <c r="Q70" s="82" t="e">
        <f t="shared" si="5"/>
        <v>#DIV/0!</v>
      </c>
      <c r="R70" s="88">
        <f t="shared" si="6"/>
        <v>0</v>
      </c>
      <c r="S70" s="82">
        <f t="shared" si="16"/>
        <v>0</v>
      </c>
      <c r="T70" s="88">
        <f t="shared" si="11"/>
        <v>0</v>
      </c>
      <c r="U70" s="87">
        <f t="shared" si="7"/>
        <v>0</v>
      </c>
      <c r="V70" s="86">
        <f>IF(OR(V$19=0,V$21=0,B70=0),0,2*(V$19-I70)-(V$19-I70)*((1+N70/(U$20*100))^(U$20*(SUM(J70:J$200)-T70)/Q$2)))</f>
        <v>0</v>
      </c>
      <c r="W70" s="86">
        <f>IF(B68=M$18,S$19,IF(B70=0,0,IF(A$10=1,IF(F71="z",SUM(U$23:U70)-SUM(W$23:W69),0),U70)))</f>
        <v>0</v>
      </c>
    </row>
    <row r="71" spans="2:23" x14ac:dyDescent="0.25">
      <c r="B71" s="23">
        <f>IF(AND(G71="",G72&gt;0)," ",IF(G71="",0,MAX(B$22:B70)+1))</f>
        <v>0</v>
      </c>
      <c r="C71" s="83">
        <f t="shared" si="19"/>
        <v>0</v>
      </c>
      <c r="D71" s="40"/>
      <c r="E71" s="33"/>
      <c r="F71" s="26"/>
      <c r="G71" s="84"/>
      <c r="H71" s="85"/>
      <c r="I71" s="86">
        <f t="shared" si="12"/>
        <v>0</v>
      </c>
      <c r="J71" s="87">
        <f t="shared" si="17"/>
        <v>0</v>
      </c>
      <c r="K71" s="86">
        <f t="shared" si="9"/>
        <v>0</v>
      </c>
      <c r="L71" s="58">
        <f t="shared" si="21"/>
        <v>0</v>
      </c>
      <c r="M71" s="23">
        <f t="shared" si="18"/>
        <v>499.58077636400003</v>
      </c>
      <c r="N71" s="79">
        <f>LOOKUP(2,1/(H$22:H71&lt;&gt;""),H$22:H71)*IF(A$12=1,(1+LOOKUP(2,1/(H$22:H71&lt;&gt;""),H$22:H71)*J71/M$6),1)</f>
        <v>2.5</v>
      </c>
      <c r="O71" s="50">
        <f t="shared" si="20"/>
        <v>0</v>
      </c>
      <c r="P71" s="87">
        <f t="shared" si="15"/>
        <v>720</v>
      </c>
      <c r="Q71" s="82" t="e">
        <f t="shared" si="5"/>
        <v>#DIV/0!</v>
      </c>
      <c r="R71" s="88">
        <f t="shared" si="6"/>
        <v>0</v>
      </c>
      <c r="S71" s="82">
        <f t="shared" si="16"/>
        <v>0</v>
      </c>
      <c r="T71" s="88">
        <f t="shared" si="11"/>
        <v>0</v>
      </c>
      <c r="U71" s="87">
        <f t="shared" si="7"/>
        <v>0</v>
      </c>
      <c r="V71" s="86">
        <f>IF(OR(V$19=0,V$21=0,B71=0),0,2*(V$19-I71)-(V$19-I71)*((1+N71/(U$20*100))^(U$20*(SUM(J71:J$200)-T71)/Q$2)))</f>
        <v>0</v>
      </c>
      <c r="W71" s="86">
        <f>IF(B69=M$18,S$19,IF(B71=0,0,IF(A$10=1,IF(F72="z",SUM(U$23:U71)-SUM(W$23:W70),0),U71)))</f>
        <v>0</v>
      </c>
    </row>
    <row r="72" spans="2:23" x14ac:dyDescent="0.25">
      <c r="B72" s="23">
        <f>IF(AND(G72="",G73&gt;0)," ",IF(G72="",0,MAX(B$22:B71)+1))</f>
        <v>0</v>
      </c>
      <c r="C72" s="83">
        <f t="shared" si="19"/>
        <v>0</v>
      </c>
      <c r="D72" s="40"/>
      <c r="E72" s="33"/>
      <c r="F72" s="26"/>
      <c r="G72" s="84"/>
      <c r="H72" s="85"/>
      <c r="I72" s="86">
        <f t="shared" si="12"/>
        <v>0</v>
      </c>
      <c r="J72" s="87">
        <f t="shared" si="17"/>
        <v>0</v>
      </c>
      <c r="K72" s="86">
        <f t="shared" si="9"/>
        <v>0</v>
      </c>
      <c r="L72" s="58">
        <f t="shared" si="21"/>
        <v>0</v>
      </c>
      <c r="M72" s="23">
        <f t="shared" si="18"/>
        <v>499.58077636400003</v>
      </c>
      <c r="N72" s="79">
        <f>LOOKUP(2,1/(H$22:H72&lt;&gt;""),H$22:H72)*IF(A$12=1,(1+LOOKUP(2,1/(H$22:H72&lt;&gt;""),H$22:H72)*J72/M$6),1)</f>
        <v>2.5</v>
      </c>
      <c r="O72" s="50">
        <f t="shared" si="20"/>
        <v>0</v>
      </c>
      <c r="P72" s="87">
        <f t="shared" si="15"/>
        <v>720</v>
      </c>
      <c r="Q72" s="82" t="e">
        <f t="shared" si="5"/>
        <v>#DIV/0!</v>
      </c>
      <c r="R72" s="88">
        <f t="shared" si="6"/>
        <v>0</v>
      </c>
      <c r="S72" s="82">
        <f t="shared" si="16"/>
        <v>0</v>
      </c>
      <c r="T72" s="88">
        <f t="shared" si="11"/>
        <v>0</v>
      </c>
      <c r="U72" s="87">
        <f t="shared" si="7"/>
        <v>0</v>
      </c>
      <c r="V72" s="86">
        <f>IF(OR(V$19=0,V$21=0,B72=0),0,2*(V$19-I72)-(V$19-I72)*((1+N72/(U$20*100))^(U$20*(SUM(J72:J$200)-T72)/Q$2)))</f>
        <v>0</v>
      </c>
      <c r="W72" s="86">
        <f>IF(B70=M$18,S$19,IF(B72=0,0,IF(A$10=1,IF(F73="z",SUM(U$23:U72)-SUM(W$23:W71),0),U72)))</f>
        <v>0</v>
      </c>
    </row>
    <row r="73" spans="2:23" x14ac:dyDescent="0.25">
      <c r="B73" s="23">
        <f>IF(AND(G73="",G74&gt;0)," ",IF(G73="",0,MAX(B$22:B72)+1))</f>
        <v>0</v>
      </c>
      <c r="C73" s="83">
        <f t="shared" si="19"/>
        <v>0</v>
      </c>
      <c r="D73" s="40"/>
      <c r="E73" s="33"/>
      <c r="F73" s="26"/>
      <c r="G73" s="84"/>
      <c r="H73" s="85"/>
      <c r="I73" s="86">
        <f t="shared" si="12"/>
        <v>0</v>
      </c>
      <c r="J73" s="87">
        <f t="shared" si="17"/>
        <v>0</v>
      </c>
      <c r="K73" s="86">
        <f t="shared" si="9"/>
        <v>0</v>
      </c>
      <c r="L73" s="58">
        <f t="shared" si="21"/>
        <v>0</v>
      </c>
      <c r="M73" s="23">
        <f t="shared" si="18"/>
        <v>499.58077636400003</v>
      </c>
      <c r="N73" s="79">
        <f>LOOKUP(2,1/(H$22:H73&lt;&gt;""),H$22:H73)*IF(A$12=1,(1+LOOKUP(2,1/(H$22:H73&lt;&gt;""),H$22:H73)*J73/M$6),1)</f>
        <v>2.5</v>
      </c>
      <c r="O73" s="50">
        <f t="shared" ref="O73:O88" si="22">IF(B73=0,0,IF(M$3=3,0,E73)+IF(A$10=1,L73,K73))</f>
        <v>0</v>
      </c>
      <c r="P73" s="87">
        <f t="shared" si="15"/>
        <v>720</v>
      </c>
      <c r="Q73" s="82" t="e">
        <f t="shared" si="5"/>
        <v>#DIV/0!</v>
      </c>
      <c r="R73" s="88">
        <f t="shared" si="6"/>
        <v>0</v>
      </c>
      <c r="S73" s="82">
        <f t="shared" si="16"/>
        <v>0</v>
      </c>
      <c r="T73" s="88">
        <f t="shared" si="11"/>
        <v>0</v>
      </c>
      <c r="U73" s="87">
        <f t="shared" si="7"/>
        <v>0</v>
      </c>
      <c r="V73" s="86">
        <f>IF(OR(V$19=0,V$21=0,B73=0),0,2*(V$19-I73)-(V$19-I73)*((1+N73/(U$20*100))^(U$20*(SUM(J73:J$200)-T73)/Q$2)))</f>
        <v>0</v>
      </c>
      <c r="W73" s="86">
        <f>IF(B71=M$18,S$19,IF(B73=0,0,IF(A$10=1,IF(F74="z",SUM(U$23:U73)-SUM(W$23:W72),0),U73)))</f>
        <v>0</v>
      </c>
    </row>
    <row r="74" spans="2:23" x14ac:dyDescent="0.25">
      <c r="B74" s="23">
        <f>IF(AND(G74="",G75&gt;0)," ",IF(G74="",0,MAX(B$22:B73)+1))</f>
        <v>0</v>
      </c>
      <c r="C74" s="83">
        <f t="shared" si="19"/>
        <v>0</v>
      </c>
      <c r="D74" s="40"/>
      <c r="E74" s="33"/>
      <c r="F74" s="26"/>
      <c r="G74" s="84"/>
      <c r="H74" s="85"/>
      <c r="I74" s="86">
        <f t="shared" si="12"/>
        <v>0</v>
      </c>
      <c r="J74" s="87">
        <f t="shared" si="17"/>
        <v>0</v>
      </c>
      <c r="K74" s="86">
        <f t="shared" si="9"/>
        <v>0</v>
      </c>
      <c r="L74" s="58">
        <f t="shared" si="21"/>
        <v>0</v>
      </c>
      <c r="M74" s="23">
        <f t="shared" si="18"/>
        <v>499.58077636400003</v>
      </c>
      <c r="N74" s="79">
        <f>LOOKUP(2,1/(H$22:H74&lt;&gt;""),H$22:H74)*IF(A$12=1,(1+LOOKUP(2,1/(H$22:H74&lt;&gt;""),H$22:H74)*J74/M$6),1)</f>
        <v>2.5</v>
      </c>
      <c r="O74" s="50">
        <f t="shared" si="22"/>
        <v>0</v>
      </c>
      <c r="P74" s="87">
        <f t="shared" si="15"/>
        <v>720</v>
      </c>
      <c r="Q74" s="82" t="e">
        <f t="shared" si="5"/>
        <v>#DIV/0!</v>
      </c>
      <c r="R74" s="88">
        <f t="shared" si="6"/>
        <v>0</v>
      </c>
      <c r="S74" s="82">
        <f t="shared" si="16"/>
        <v>0</v>
      </c>
      <c r="T74" s="88">
        <f t="shared" si="11"/>
        <v>0</v>
      </c>
      <c r="U74" s="87">
        <f t="shared" si="7"/>
        <v>0</v>
      </c>
      <c r="V74" s="86">
        <f>IF(OR(V$19=0,V$21=0,B74=0),0,2*(V$19-I74)-(V$19-I74)*((1+N74/(U$20*100))^(U$20*(SUM(J74:J$200)-T74)/Q$2)))</f>
        <v>0</v>
      </c>
      <c r="W74" s="86">
        <f>IF(B72=M$18,S$19,IF(B74=0,0,IF(A$10=1,IF(F75="z",SUM(U$23:U74)-SUM(W$23:W73),0),U74)))</f>
        <v>0</v>
      </c>
    </row>
    <row r="75" spans="2:23" x14ac:dyDescent="0.25">
      <c r="B75" s="23">
        <f>IF(AND(G75="",G76&gt;0)," ",IF(G75="",0,MAX(B$22:B74)+1))</f>
        <v>0</v>
      </c>
      <c r="C75" s="83">
        <f t="shared" si="19"/>
        <v>0</v>
      </c>
      <c r="D75" s="40"/>
      <c r="E75" s="33"/>
      <c r="F75" s="26"/>
      <c r="G75" s="84"/>
      <c r="H75" s="85"/>
      <c r="I75" s="86">
        <f t="shared" si="12"/>
        <v>0</v>
      </c>
      <c r="J75" s="87">
        <f t="shared" si="17"/>
        <v>0</v>
      </c>
      <c r="K75" s="86">
        <f t="shared" si="9"/>
        <v>0</v>
      </c>
      <c r="L75" s="58">
        <f t="shared" si="21"/>
        <v>0</v>
      </c>
      <c r="M75" s="23">
        <f t="shared" si="18"/>
        <v>499.58077636400003</v>
      </c>
      <c r="N75" s="79">
        <f>LOOKUP(2,1/(H$22:H75&lt;&gt;""),H$22:H75)*IF(A$12=1,(1+LOOKUP(2,1/(H$22:H75&lt;&gt;""),H$22:H75)*J75/M$6),1)</f>
        <v>2.5</v>
      </c>
      <c r="O75" s="50">
        <f t="shared" si="22"/>
        <v>0</v>
      </c>
      <c r="P75" s="87">
        <f t="shared" si="15"/>
        <v>720</v>
      </c>
      <c r="Q75" s="82" t="e">
        <f t="shared" si="5"/>
        <v>#DIV/0!</v>
      </c>
      <c r="R75" s="88">
        <f t="shared" si="6"/>
        <v>0</v>
      </c>
      <c r="S75" s="82">
        <f t="shared" si="16"/>
        <v>0</v>
      </c>
      <c r="T75" s="88">
        <f t="shared" si="11"/>
        <v>0</v>
      </c>
      <c r="U75" s="87">
        <f t="shared" si="7"/>
        <v>0</v>
      </c>
      <c r="V75" s="86">
        <f>IF(OR(V$19=0,V$21=0,B75=0),0,2*(V$19-I75)-(V$19-I75)*((1+N75/(U$20*100))^(U$20*(SUM(J75:J$200)-T75)/Q$2)))</f>
        <v>0</v>
      </c>
      <c r="W75" s="86">
        <f>IF(B73=M$18,S$19,IF(B75=0,0,IF(A$10=1,IF(F76="z",SUM(U$23:U75)-SUM(W$23:W74),0),U75)))</f>
        <v>0</v>
      </c>
    </row>
    <row r="76" spans="2:23" x14ac:dyDescent="0.25">
      <c r="B76" s="23">
        <f>IF(AND(G76="",G77&gt;0)," ",IF(G76="",0,MAX(B$22:B75)+1))</f>
        <v>0</v>
      </c>
      <c r="C76" s="83">
        <f t="shared" si="19"/>
        <v>0</v>
      </c>
      <c r="D76" s="40"/>
      <c r="E76" s="33"/>
      <c r="F76" s="26"/>
      <c r="G76" s="84"/>
      <c r="H76" s="85"/>
      <c r="I76" s="86">
        <f t="shared" si="12"/>
        <v>0</v>
      </c>
      <c r="J76" s="87">
        <f t="shared" si="17"/>
        <v>0</v>
      </c>
      <c r="K76" s="86">
        <f t="shared" si="9"/>
        <v>0</v>
      </c>
      <c r="L76" s="58">
        <f t="shared" si="21"/>
        <v>0</v>
      </c>
      <c r="M76" s="23">
        <f t="shared" si="18"/>
        <v>499.58077636400003</v>
      </c>
      <c r="N76" s="79">
        <f>LOOKUP(2,1/(H$22:H76&lt;&gt;""),H$22:H76)*IF(A$12=1,(1+LOOKUP(2,1/(H$22:H76&lt;&gt;""),H$22:H76)*J76/M$6),1)</f>
        <v>2.5</v>
      </c>
      <c r="O76" s="50">
        <f t="shared" si="22"/>
        <v>0</v>
      </c>
      <c r="P76" s="87">
        <f t="shared" si="15"/>
        <v>720</v>
      </c>
      <c r="Q76" s="82" t="e">
        <f t="shared" si="5"/>
        <v>#DIV/0!</v>
      </c>
      <c r="R76" s="88">
        <f t="shared" si="6"/>
        <v>0</v>
      </c>
      <c r="S76" s="82">
        <f t="shared" si="16"/>
        <v>0</v>
      </c>
      <c r="T76" s="88">
        <f t="shared" si="11"/>
        <v>0</v>
      </c>
      <c r="U76" s="87">
        <f t="shared" si="7"/>
        <v>0</v>
      </c>
      <c r="V76" s="86">
        <f>IF(OR(V$19=0,V$21=0,B76=0),0,2*(V$19-I76)-(V$19-I76)*((1+N76/(U$20*100))^(U$20*(SUM(J76:J$200)-T76)/Q$2)))</f>
        <v>0</v>
      </c>
      <c r="W76" s="86">
        <f>IF(B74=M$18,S$19,IF(B76=0,0,IF(A$10=1,IF(F77="z",SUM(U$23:U76)-SUM(W$23:W75),0),U76)))</f>
        <v>0</v>
      </c>
    </row>
    <row r="77" spans="2:23" x14ac:dyDescent="0.25">
      <c r="B77" s="23">
        <f>IF(AND(G77="",G78&gt;0)," ",IF(G77="",0,MAX(B$22:B76)+1))</f>
        <v>0</v>
      </c>
      <c r="C77" s="83">
        <f t="shared" si="19"/>
        <v>0</v>
      </c>
      <c r="D77" s="40"/>
      <c r="E77" s="33"/>
      <c r="F77" s="26"/>
      <c r="G77" s="84"/>
      <c r="H77" s="85"/>
      <c r="I77" s="86">
        <f t="shared" si="12"/>
        <v>0</v>
      </c>
      <c r="J77" s="87">
        <f t="shared" si="17"/>
        <v>0</v>
      </c>
      <c r="K77" s="86">
        <f t="shared" si="9"/>
        <v>0</v>
      </c>
      <c r="L77" s="58">
        <f t="shared" si="21"/>
        <v>0</v>
      </c>
      <c r="M77" s="23">
        <f t="shared" si="18"/>
        <v>499.58077636400003</v>
      </c>
      <c r="N77" s="79">
        <f>LOOKUP(2,1/(H$22:H77&lt;&gt;""),H$22:H77)*IF(A$12=1,(1+LOOKUP(2,1/(H$22:H77&lt;&gt;""),H$22:H77)*J77/M$6),1)</f>
        <v>2.5</v>
      </c>
      <c r="O77" s="50">
        <f t="shared" si="22"/>
        <v>0</v>
      </c>
      <c r="P77" s="87">
        <f t="shared" si="15"/>
        <v>720</v>
      </c>
      <c r="Q77" s="82" t="e">
        <f t="shared" si="5"/>
        <v>#DIV/0!</v>
      </c>
      <c r="R77" s="88">
        <f t="shared" si="6"/>
        <v>0</v>
      </c>
      <c r="S77" s="82">
        <f t="shared" si="16"/>
        <v>0</v>
      </c>
      <c r="T77" s="88">
        <f t="shared" si="11"/>
        <v>0</v>
      </c>
      <c r="U77" s="87">
        <f t="shared" si="7"/>
        <v>0</v>
      </c>
      <c r="V77" s="86">
        <f>IF(OR(V$19=0,V$21=0,B77=0),0,2*(V$19-I77)-(V$19-I77)*((1+N77/(U$20*100))^(U$20*(SUM(J77:J$200)-T77)/Q$2)))</f>
        <v>0</v>
      </c>
      <c r="W77" s="86">
        <f>IF(B75=M$18,S$19,IF(B77=0,0,IF(A$10=1,IF(F78="z",SUM(U$23:U77)-SUM(W$23:W76),0),U77)))</f>
        <v>0</v>
      </c>
    </row>
    <row r="78" spans="2:23" x14ac:dyDescent="0.25">
      <c r="B78" s="23">
        <f>IF(AND(G78="",G79&gt;0)," ",IF(G78="",0,MAX(B$22:B77)+1))</f>
        <v>0</v>
      </c>
      <c r="C78" s="83">
        <f t="shared" si="19"/>
        <v>0</v>
      </c>
      <c r="D78" s="40"/>
      <c r="E78" s="33"/>
      <c r="F78" s="26"/>
      <c r="G78" s="84"/>
      <c r="H78" s="85"/>
      <c r="I78" s="86">
        <f t="shared" si="12"/>
        <v>0</v>
      </c>
      <c r="J78" s="87">
        <f t="shared" si="17"/>
        <v>0</v>
      </c>
      <c r="K78" s="86">
        <f t="shared" si="9"/>
        <v>0</v>
      </c>
      <c r="L78" s="58">
        <f t="shared" si="21"/>
        <v>0</v>
      </c>
      <c r="M78" s="23">
        <f t="shared" si="18"/>
        <v>499.58077636400003</v>
      </c>
      <c r="N78" s="79">
        <f>LOOKUP(2,1/(H$22:H78&lt;&gt;""),H$22:H78)*IF(A$12=1,(1+LOOKUP(2,1/(H$22:H78&lt;&gt;""),H$22:H78)*J78/M$6),1)</f>
        <v>2.5</v>
      </c>
      <c r="O78" s="50">
        <f t="shared" si="22"/>
        <v>0</v>
      </c>
      <c r="P78" s="87">
        <f t="shared" ref="P78:P105" si="23">P77+J78</f>
        <v>720</v>
      </c>
      <c r="Q78" s="82" t="e">
        <f t="shared" si="5"/>
        <v>#DIV/0!</v>
      </c>
      <c r="R78" s="88">
        <f t="shared" si="6"/>
        <v>0</v>
      </c>
      <c r="S78" s="82">
        <f t="shared" si="16"/>
        <v>0</v>
      </c>
      <c r="T78" s="88">
        <f t="shared" si="11"/>
        <v>0</v>
      </c>
      <c r="U78" s="87">
        <f t="shared" si="7"/>
        <v>0</v>
      </c>
      <c r="V78" s="86">
        <f>IF(OR(V$19=0,V$21=0,B78=0),0,2*(V$19-I78)-(V$19-I78)*((1+N78/(U$20*100))^(U$20*(SUM(J78:J$200)-T78)/Q$2)))</f>
        <v>0</v>
      </c>
      <c r="W78" s="86">
        <f>IF(B76=M$18,S$19,IF(B78=0,0,IF(A$10=1,IF(F79="z",SUM(U$23:U78)-SUM(W$23:W77),0),U78)))</f>
        <v>0</v>
      </c>
    </row>
    <row r="79" spans="2:23" x14ac:dyDescent="0.25">
      <c r="B79" s="23">
        <f>IF(AND(G79="",G80&gt;0)," ",IF(G79="",0,MAX(B$22:B78)+1))</f>
        <v>0</v>
      </c>
      <c r="C79" s="83">
        <f t="shared" si="19"/>
        <v>0</v>
      </c>
      <c r="D79" s="40"/>
      <c r="E79" s="33"/>
      <c r="F79" s="26"/>
      <c r="G79" s="84"/>
      <c r="H79" s="85"/>
      <c r="I79" s="86">
        <f t="shared" si="12"/>
        <v>0</v>
      </c>
      <c r="J79" s="87">
        <f t="shared" si="17"/>
        <v>0</v>
      </c>
      <c r="K79" s="86">
        <f t="shared" si="9"/>
        <v>0</v>
      </c>
      <c r="L79" s="58">
        <f t="shared" si="21"/>
        <v>0</v>
      </c>
      <c r="M79" s="23">
        <f t="shared" si="18"/>
        <v>499.58077636400003</v>
      </c>
      <c r="N79" s="79">
        <f>LOOKUP(2,1/(H$22:H79&lt;&gt;""),H$22:H79)*IF(A$12=1,(1+LOOKUP(2,1/(H$22:H79&lt;&gt;""),H$22:H79)*J79/M$6),1)</f>
        <v>2.5</v>
      </c>
      <c r="O79" s="50">
        <f t="shared" si="22"/>
        <v>0</v>
      </c>
      <c r="P79" s="87">
        <f t="shared" si="23"/>
        <v>720</v>
      </c>
      <c r="Q79" s="82" t="e">
        <f t="shared" si="5"/>
        <v>#DIV/0!</v>
      </c>
      <c r="R79" s="88">
        <f t="shared" si="6"/>
        <v>0</v>
      </c>
      <c r="S79" s="82">
        <f t="shared" si="16"/>
        <v>0</v>
      </c>
      <c r="T79" s="88">
        <f t="shared" si="11"/>
        <v>0</v>
      </c>
      <c r="U79" s="87">
        <f t="shared" si="7"/>
        <v>0</v>
      </c>
      <c r="V79" s="86">
        <f>IF(OR(V$19=0,V$21=0,B79=0),0,2*(V$19-I79)-(V$19-I79)*((1+N79/(U$20*100))^(U$20*(SUM(J79:J$200)-T79)/Q$2)))</f>
        <v>0</v>
      </c>
      <c r="W79" s="86">
        <f>IF(B77=M$18,S$19,IF(B79=0,0,IF(A$10=1,IF(F80="z",SUM(U$23:U79)-SUM(W$23:W78),0),U79)))</f>
        <v>0</v>
      </c>
    </row>
    <row r="80" spans="2:23" x14ac:dyDescent="0.25">
      <c r="B80" s="23">
        <f>IF(AND(G80="",G81&gt;0)," ",IF(G80="",0,MAX(B$22:B79)+1))</f>
        <v>0</v>
      </c>
      <c r="C80" s="83">
        <f t="shared" si="19"/>
        <v>0</v>
      </c>
      <c r="D80" s="40"/>
      <c r="E80" s="33"/>
      <c r="F80" s="26"/>
      <c r="G80" s="84"/>
      <c r="H80" s="85"/>
      <c r="I80" s="86">
        <f t="shared" si="12"/>
        <v>0</v>
      </c>
      <c r="J80" s="87">
        <f t="shared" si="17"/>
        <v>0</v>
      </c>
      <c r="K80" s="86">
        <f t="shared" si="9"/>
        <v>0</v>
      </c>
      <c r="L80" s="58">
        <f t="shared" si="21"/>
        <v>0</v>
      </c>
      <c r="M80" s="23">
        <f t="shared" si="18"/>
        <v>499.58077636400003</v>
      </c>
      <c r="N80" s="79">
        <f>LOOKUP(2,1/(H$22:H80&lt;&gt;""),H$22:H80)*IF(A$12=1,(1+LOOKUP(2,1/(H$22:H80&lt;&gt;""),H$22:H80)*J80/M$6),1)</f>
        <v>2.5</v>
      </c>
      <c r="O80" s="50">
        <f t="shared" si="22"/>
        <v>0</v>
      </c>
      <c r="P80" s="87">
        <f t="shared" si="23"/>
        <v>720</v>
      </c>
      <c r="Q80" s="82" t="e">
        <f t="shared" si="5"/>
        <v>#DIV/0!</v>
      </c>
      <c r="R80" s="88">
        <f t="shared" si="6"/>
        <v>0</v>
      </c>
      <c r="S80" s="82">
        <f t="shared" si="16"/>
        <v>0</v>
      </c>
      <c r="T80" s="88">
        <f t="shared" si="11"/>
        <v>0</v>
      </c>
      <c r="U80" s="87">
        <f t="shared" si="7"/>
        <v>0</v>
      </c>
      <c r="V80" s="86">
        <f>IF(OR(V$19=0,V$21=0,B80=0),0,2*(V$19-I80)-(V$19-I80)*((1+N80/(U$20*100))^(U$20*(SUM(J80:J$200)-T80)/Q$2)))</f>
        <v>0</v>
      </c>
      <c r="W80" s="86">
        <f>IF(B78=M$18,S$19,IF(B80=0,0,IF(A$10=1,IF(F81="z",SUM(U$23:U80)-SUM(W$23:W79),0),U80)))</f>
        <v>0</v>
      </c>
    </row>
    <row r="81" spans="2:23" x14ac:dyDescent="0.25">
      <c r="B81" s="23">
        <f>IF(AND(G81="",G82&gt;0)," ",IF(G81="",0,MAX(B$22:B80)+1))</f>
        <v>0</v>
      </c>
      <c r="C81" s="83">
        <f t="shared" si="19"/>
        <v>0</v>
      </c>
      <c r="D81" s="40"/>
      <c r="E81" s="33"/>
      <c r="F81" s="26"/>
      <c r="G81" s="84"/>
      <c r="H81" s="85"/>
      <c r="I81" s="86">
        <f t="shared" si="12"/>
        <v>0</v>
      </c>
      <c r="J81" s="87">
        <f t="shared" si="17"/>
        <v>0</v>
      </c>
      <c r="K81" s="86">
        <f t="shared" si="9"/>
        <v>0</v>
      </c>
      <c r="L81" s="58">
        <f t="shared" si="21"/>
        <v>0</v>
      </c>
      <c r="M81" s="23">
        <f t="shared" si="18"/>
        <v>499.58077636400003</v>
      </c>
      <c r="N81" s="79">
        <f>LOOKUP(2,1/(H$22:H81&lt;&gt;""),H$22:H81)*IF(A$12=1,(1+LOOKUP(2,1/(H$22:H81&lt;&gt;""),H$22:H81)*J81/M$6),1)</f>
        <v>2.5</v>
      </c>
      <c r="O81" s="50">
        <f t="shared" si="22"/>
        <v>0</v>
      </c>
      <c r="P81" s="87">
        <f t="shared" si="23"/>
        <v>720</v>
      </c>
      <c r="Q81" s="82" t="e">
        <f t="shared" si="5"/>
        <v>#DIV/0!</v>
      </c>
      <c r="R81" s="88">
        <f t="shared" si="6"/>
        <v>0</v>
      </c>
      <c r="S81" s="82">
        <f t="shared" si="16"/>
        <v>0</v>
      </c>
      <c r="T81" s="88">
        <f t="shared" si="11"/>
        <v>0</v>
      </c>
      <c r="U81" s="87">
        <f t="shared" si="7"/>
        <v>0</v>
      </c>
      <c r="V81" s="86">
        <f>IF(OR(V$19=0,V$21=0,B81=0),0,2*(V$19-I81)-(V$19-I81)*((1+N81/(U$20*100))^(U$20*(SUM(J81:J$200)-T81)/Q$2)))</f>
        <v>0</v>
      </c>
      <c r="W81" s="86">
        <f>IF(B79=M$18,S$19,IF(B81=0,0,IF(A$10=1,IF(F82="z",SUM(U$23:U81)-SUM(W$23:W80),0),U81)))</f>
        <v>0</v>
      </c>
    </row>
    <row r="82" spans="2:23" x14ac:dyDescent="0.25">
      <c r="B82" s="23">
        <f>IF(AND(G82="",G83&gt;0)," ",IF(G82="",0,MAX(B$22:B81)+1))</f>
        <v>0</v>
      </c>
      <c r="C82" s="83">
        <f t="shared" si="19"/>
        <v>0</v>
      </c>
      <c r="D82" s="40"/>
      <c r="E82" s="33"/>
      <c r="F82" s="26"/>
      <c r="G82" s="84"/>
      <c r="H82" s="85"/>
      <c r="I82" s="86">
        <f t="shared" si="12"/>
        <v>0</v>
      </c>
      <c r="J82" s="87">
        <f t="shared" si="17"/>
        <v>0</v>
      </c>
      <c r="K82" s="86">
        <f t="shared" si="9"/>
        <v>0</v>
      </c>
      <c r="L82" s="58">
        <f t="shared" si="21"/>
        <v>0</v>
      </c>
      <c r="M82" s="23">
        <f t="shared" si="18"/>
        <v>499.58077636400003</v>
      </c>
      <c r="N82" s="79">
        <f>LOOKUP(2,1/(H$22:H82&lt;&gt;""),H$22:H82)*IF(A$12=1,(1+LOOKUP(2,1/(H$22:H82&lt;&gt;""),H$22:H82)*J82/M$6),1)</f>
        <v>2.5</v>
      </c>
      <c r="O82" s="50">
        <f t="shared" si="22"/>
        <v>0</v>
      </c>
      <c r="P82" s="87">
        <f t="shared" si="23"/>
        <v>720</v>
      </c>
      <c r="Q82" s="82" t="e">
        <f t="shared" si="5"/>
        <v>#DIV/0!</v>
      </c>
      <c r="R82" s="88">
        <f t="shared" si="6"/>
        <v>0</v>
      </c>
      <c r="S82" s="82">
        <f t="shared" si="16"/>
        <v>0</v>
      </c>
      <c r="T82" s="88">
        <f t="shared" si="11"/>
        <v>0</v>
      </c>
      <c r="U82" s="87">
        <f t="shared" si="7"/>
        <v>0</v>
      </c>
      <c r="V82" s="86">
        <f>IF(OR(V$19=0,V$21=0,B82=0),0,2*(V$19-I82)-(V$19-I82)*((1+N82/(U$20*100))^(U$20*(SUM(J82:J$200)-T82)/Q$2)))</f>
        <v>0</v>
      </c>
      <c r="W82" s="86">
        <f>IF(B80=M$18,S$19,IF(B82=0,0,IF(A$10=1,IF(F83="z",SUM(U$23:U82)-SUM(W$23:W81),0),U82)))</f>
        <v>0</v>
      </c>
    </row>
    <row r="83" spans="2:23" x14ac:dyDescent="0.25">
      <c r="B83" s="23">
        <f>IF(AND(G83="",G84&gt;0)," ",IF(G83="",0,MAX(B$22:B82)+1))</f>
        <v>0</v>
      </c>
      <c r="C83" s="83">
        <f t="shared" si="19"/>
        <v>0</v>
      </c>
      <c r="D83" s="40"/>
      <c r="E83" s="33"/>
      <c r="F83" s="26"/>
      <c r="G83" s="84"/>
      <c r="H83" s="85"/>
      <c r="I83" s="86">
        <f t="shared" si="12"/>
        <v>0</v>
      </c>
      <c r="J83" s="87">
        <f t="shared" si="17"/>
        <v>0</v>
      </c>
      <c r="K83" s="86">
        <f t="shared" si="9"/>
        <v>0</v>
      </c>
      <c r="L83" s="58">
        <f t="shared" si="21"/>
        <v>0</v>
      </c>
      <c r="M83" s="23">
        <f t="shared" si="18"/>
        <v>499.58077636400003</v>
      </c>
      <c r="N83" s="79">
        <f>LOOKUP(2,1/(H$22:H83&lt;&gt;""),H$22:H83)*IF(A$12=1,(1+LOOKUP(2,1/(H$22:H83&lt;&gt;""),H$22:H83)*J83/M$6),1)</f>
        <v>2.5</v>
      </c>
      <c r="O83" s="50">
        <f t="shared" si="22"/>
        <v>0</v>
      </c>
      <c r="P83" s="87">
        <f t="shared" si="23"/>
        <v>720</v>
      </c>
      <c r="Q83" s="82" t="e">
        <f t="shared" si="5"/>
        <v>#DIV/0!</v>
      </c>
      <c r="R83" s="88">
        <f t="shared" si="6"/>
        <v>0</v>
      </c>
      <c r="S83" s="82">
        <f t="shared" si="16"/>
        <v>0</v>
      </c>
      <c r="T83" s="88">
        <f t="shared" si="11"/>
        <v>0</v>
      </c>
      <c r="U83" s="87">
        <f t="shared" si="7"/>
        <v>0</v>
      </c>
      <c r="V83" s="86">
        <f>IF(OR(V$19=0,V$21=0,B83=0),0,2*(V$19-I83)-(V$19-I83)*((1+N83/(U$20*100))^(U$20*(SUM(J83:J$200)-T83)/Q$2)))</f>
        <v>0</v>
      </c>
      <c r="W83" s="86">
        <f>IF(B81=M$18,S$19,IF(B83=0,0,IF(A$10=1,IF(F84="z",SUM(U$23:U83)-SUM(W$23:W82),0),U83)))</f>
        <v>0</v>
      </c>
    </row>
    <row r="84" spans="2:23" x14ac:dyDescent="0.25">
      <c r="B84" s="23">
        <f>IF(AND(G84="",G85&gt;0)," ",IF(G84="",0,MAX(B$22:B83)+1))</f>
        <v>0</v>
      </c>
      <c r="C84" s="83">
        <f t="shared" si="19"/>
        <v>0</v>
      </c>
      <c r="D84" s="40"/>
      <c r="E84" s="33"/>
      <c r="F84" s="26"/>
      <c r="G84" s="84"/>
      <c r="H84" s="85"/>
      <c r="I84" s="86">
        <f t="shared" si="12"/>
        <v>0</v>
      </c>
      <c r="J84" s="87">
        <f t="shared" si="17"/>
        <v>0</v>
      </c>
      <c r="K84" s="86">
        <f t="shared" si="9"/>
        <v>0</v>
      </c>
      <c r="L84" s="58">
        <f t="shared" si="21"/>
        <v>0</v>
      </c>
      <c r="M84" s="23">
        <f t="shared" si="18"/>
        <v>499.58077636400003</v>
      </c>
      <c r="N84" s="79">
        <f>LOOKUP(2,1/(H$22:H84&lt;&gt;""),H$22:H84)*IF(A$12=1,(1+LOOKUP(2,1/(H$22:H84&lt;&gt;""),H$22:H84)*J84/M$6),1)</f>
        <v>2.5</v>
      </c>
      <c r="O84" s="50">
        <f t="shared" si="22"/>
        <v>0</v>
      </c>
      <c r="P84" s="87">
        <f t="shared" si="23"/>
        <v>720</v>
      </c>
      <c r="Q84" s="82" t="e">
        <f t="shared" si="5"/>
        <v>#DIV/0!</v>
      </c>
      <c r="R84" s="88">
        <f t="shared" si="6"/>
        <v>0</v>
      </c>
      <c r="S84" s="82">
        <f t="shared" si="16"/>
        <v>0</v>
      </c>
      <c r="T84" s="88">
        <f t="shared" si="11"/>
        <v>0</v>
      </c>
      <c r="U84" s="87">
        <f t="shared" si="7"/>
        <v>0</v>
      </c>
      <c r="V84" s="86">
        <f>IF(OR(V$19=0,V$21=0,B84=0),0,2*(V$19-I84)-(V$19-I84)*((1+N84/(U$20*100))^(U$20*(SUM(J84:J$200)-T84)/Q$2)))</f>
        <v>0</v>
      </c>
      <c r="W84" s="86">
        <f>IF(B82=M$18,S$19,IF(B84=0,0,IF(A$10=1,IF(F85="z",SUM(U$23:U84)-SUM(W$23:W83),0),U84)))</f>
        <v>0</v>
      </c>
    </row>
    <row r="85" spans="2:23" x14ac:dyDescent="0.25">
      <c r="B85" s="23">
        <f>IF(AND(G85="",G86&gt;0)," ",IF(G85="",0,MAX(B$22:B84)+1))</f>
        <v>0</v>
      </c>
      <c r="C85" s="83">
        <f t="shared" si="19"/>
        <v>0</v>
      </c>
      <c r="D85" s="40"/>
      <c r="E85" s="33"/>
      <c r="F85" s="26"/>
      <c r="G85" s="84"/>
      <c r="H85" s="85"/>
      <c r="I85" s="86">
        <f t="shared" si="12"/>
        <v>0</v>
      </c>
      <c r="J85" s="87">
        <f t="shared" si="17"/>
        <v>0</v>
      </c>
      <c r="K85" s="86">
        <f t="shared" si="9"/>
        <v>0</v>
      </c>
      <c r="L85" s="58">
        <f t="shared" si="21"/>
        <v>0</v>
      </c>
      <c r="M85" s="23">
        <f t="shared" si="18"/>
        <v>499.58077636400003</v>
      </c>
      <c r="N85" s="79">
        <f>LOOKUP(2,1/(H$22:H85&lt;&gt;""),H$22:H85)*IF(A$12=1,(1+LOOKUP(2,1/(H$22:H85&lt;&gt;""),H$22:H85)*J85/M$6),1)</f>
        <v>2.5</v>
      </c>
      <c r="O85" s="50">
        <f t="shared" si="22"/>
        <v>0</v>
      </c>
      <c r="P85" s="87">
        <f t="shared" si="23"/>
        <v>720</v>
      </c>
      <c r="Q85" s="82" t="e">
        <f t="shared" si="5"/>
        <v>#DIV/0!</v>
      </c>
      <c r="R85" s="88">
        <f t="shared" si="6"/>
        <v>0</v>
      </c>
      <c r="S85" s="82">
        <f t="shared" si="16"/>
        <v>0</v>
      </c>
      <c r="T85" s="88">
        <f t="shared" si="11"/>
        <v>0</v>
      </c>
      <c r="U85" s="87">
        <f t="shared" si="7"/>
        <v>0</v>
      </c>
      <c r="V85" s="86">
        <f>IF(OR(V$19=0,V$21=0,B85=0),0,2*(V$19-I85)-(V$19-I85)*((1+N85/(U$20*100))^(U$20*(SUM(J85:J$200)-T85)/Q$2)))</f>
        <v>0</v>
      </c>
      <c r="W85" s="86">
        <f>IF(B83=M$18,S$19,IF(B85=0,0,IF(A$10=1,IF(F86="z",SUM(U$23:U85)-SUM(W$23:W84),0),U85)))</f>
        <v>0</v>
      </c>
    </row>
    <row r="86" spans="2:23" x14ac:dyDescent="0.25">
      <c r="B86" s="23">
        <f>IF(AND(G86="",G87&gt;0)," ",IF(G86="",0,MAX(B$22:B85)+1))</f>
        <v>0</v>
      </c>
      <c r="C86" s="83">
        <f t="shared" si="19"/>
        <v>0</v>
      </c>
      <c r="D86" s="40"/>
      <c r="E86" s="33"/>
      <c r="F86" s="26"/>
      <c r="G86" s="84"/>
      <c r="H86" s="85"/>
      <c r="I86" s="86">
        <f t="shared" si="12"/>
        <v>0</v>
      </c>
      <c r="J86" s="87">
        <f t="shared" si="17"/>
        <v>0</v>
      </c>
      <c r="K86" s="86">
        <f t="shared" si="9"/>
        <v>0</v>
      </c>
      <c r="L86" s="58">
        <f t="shared" si="21"/>
        <v>0</v>
      </c>
      <c r="M86" s="23">
        <f t="shared" si="18"/>
        <v>499.58077636400003</v>
      </c>
      <c r="N86" s="79">
        <f>LOOKUP(2,1/(H$22:H86&lt;&gt;""),H$22:H86)*IF(A$12=1,(1+LOOKUP(2,1/(H$22:H86&lt;&gt;""),H$22:H86)*J86/M$6),1)</f>
        <v>2.5</v>
      </c>
      <c r="O86" s="50">
        <f t="shared" si="22"/>
        <v>0</v>
      </c>
      <c r="P86" s="87">
        <f t="shared" si="23"/>
        <v>720</v>
      </c>
      <c r="Q86" s="82" t="e">
        <f t="shared" si="5"/>
        <v>#DIV/0!</v>
      </c>
      <c r="R86" s="88">
        <f t="shared" si="6"/>
        <v>0</v>
      </c>
      <c r="S86" s="82">
        <f t="shared" si="16"/>
        <v>0</v>
      </c>
      <c r="T86" s="88">
        <f t="shared" si="11"/>
        <v>0</v>
      </c>
      <c r="U86" s="87">
        <f t="shared" si="7"/>
        <v>0</v>
      </c>
      <c r="V86" s="86">
        <f>IF(OR(V$19=0,V$21=0,B86=0),0,2*(V$19-I86)-(V$19-I86)*((1+N86/(U$20*100))^(U$20*(SUM(J86:J$200)-T86)/Q$2)))</f>
        <v>0</v>
      </c>
      <c r="W86" s="86">
        <f>IF(B84=M$18,S$19,IF(B86=0,0,IF(A$10=1,IF(F87="z",SUM(U$23:U86)-SUM(W$23:W85),0),U86)))</f>
        <v>0</v>
      </c>
    </row>
    <row r="87" spans="2:23" x14ac:dyDescent="0.25">
      <c r="B87" s="23">
        <f>IF(AND(G87="",G88&gt;0)," ",IF(G87="",0,MAX(B$22:B86)+1))</f>
        <v>0</v>
      </c>
      <c r="C87" s="83">
        <f t="shared" si="19"/>
        <v>0</v>
      </c>
      <c r="D87" s="40"/>
      <c r="E87" s="33"/>
      <c r="F87" s="26"/>
      <c r="G87" s="84"/>
      <c r="H87" s="85"/>
      <c r="I87" s="86">
        <f t="shared" si="12"/>
        <v>0</v>
      </c>
      <c r="J87" s="87">
        <f t="shared" si="17"/>
        <v>0</v>
      </c>
      <c r="K87" s="86">
        <f t="shared" si="9"/>
        <v>0</v>
      </c>
      <c r="L87" s="58">
        <f t="shared" si="21"/>
        <v>0</v>
      </c>
      <c r="M87" s="23">
        <f t="shared" si="18"/>
        <v>499.58077636400003</v>
      </c>
      <c r="N87" s="79">
        <f>LOOKUP(2,1/(H$22:H87&lt;&gt;""),H$22:H87)*IF(A$12=1,(1+LOOKUP(2,1/(H$22:H87&lt;&gt;""),H$22:H87)*J87/M$6),1)</f>
        <v>2.5</v>
      </c>
      <c r="O87" s="50">
        <f t="shared" si="22"/>
        <v>0</v>
      </c>
      <c r="P87" s="87">
        <f t="shared" si="23"/>
        <v>720</v>
      </c>
      <c r="Q87" s="82" t="e">
        <f t="shared" si="5"/>
        <v>#DIV/0!</v>
      </c>
      <c r="R87" s="88">
        <f t="shared" si="6"/>
        <v>0</v>
      </c>
      <c r="S87" s="82">
        <f t="shared" ref="S87:S104" si="24">IF(I$14=1,O87+S88/IF(J87=0,1,(1+I$13/(Q$2*100/J87))),(O87+S88)/IF(J87=0,1,(1+I$13/(Q$2*100/J87))))</f>
        <v>0</v>
      </c>
      <c r="T87" s="88">
        <f t="shared" si="11"/>
        <v>0</v>
      </c>
      <c r="U87" s="87">
        <f t="shared" si="7"/>
        <v>0</v>
      </c>
      <c r="V87" s="86">
        <f>IF(OR(V$19=0,V$21=0,B87=0),0,2*(V$19-I87)-(V$19-I87)*((1+N87/(U$20*100))^(U$20*(SUM(J87:J$200)-T87)/Q$2)))</f>
        <v>0</v>
      </c>
      <c r="W87" s="86">
        <f>IF(B85=M$18,S$19,IF(B87=0,0,IF(A$10=1,IF(F88="z",SUM(U$23:U87)-SUM(W$23:W86),0),U87)))</f>
        <v>0</v>
      </c>
    </row>
    <row r="88" spans="2:23" x14ac:dyDescent="0.25">
      <c r="B88" s="23">
        <f>IF(AND(G88="",G89&gt;0)," ",IF(G88="",0,MAX(B$22:B87)+1))</f>
        <v>0</v>
      </c>
      <c r="C88" s="83">
        <f t="shared" si="19"/>
        <v>0</v>
      </c>
      <c r="D88" s="40"/>
      <c r="E88" s="33"/>
      <c r="F88" s="26"/>
      <c r="G88" s="84"/>
      <c r="H88" s="85"/>
      <c r="I88" s="86">
        <f t="shared" si="12"/>
        <v>0</v>
      </c>
      <c r="J88" s="87">
        <f t="shared" ref="J88:J105" si="25">IF(B88=0,0,IF(B89=0,M$7,IF(A$11=1,360*(YEAR(G89)-YEAR(G88))+30*(MONTH(G89)-MONTH(G88))+IF(DAY(G89)&gt;DAY(G89+1),30,DAY(G89))-IF(DAY(G88)&gt;DAY(G88+1),30,DAY(G88)),G89-G88))-R88)</f>
        <v>0</v>
      </c>
      <c r="K88" s="86">
        <f t="shared" si="9"/>
        <v>0</v>
      </c>
      <c r="L88" s="58">
        <f t="shared" si="21"/>
        <v>0</v>
      </c>
      <c r="M88" s="23">
        <f t="shared" ref="M88:M105" si="26">M87+K88-L87</f>
        <v>499.58077636400003</v>
      </c>
      <c r="N88" s="79">
        <f>LOOKUP(2,1/(H$22:H88&lt;&gt;""),H$22:H88)*IF(A$12=1,(1+LOOKUP(2,1/(H$22:H88&lt;&gt;""),H$22:H88)*J88/M$6),1)</f>
        <v>2.5</v>
      </c>
      <c r="O88" s="50">
        <f t="shared" si="22"/>
        <v>0</v>
      </c>
      <c r="P88" s="87">
        <f t="shared" si="23"/>
        <v>720</v>
      </c>
      <c r="Q88" s="82" t="e">
        <f t="shared" ref="Q88:Q105" si="27">ROUND(O88*Q$1^(IF(I$14=1,P87,P88)*I$12/Q$2),K$22)</f>
        <v>#DIV/0!</v>
      </c>
      <c r="R88" s="88">
        <f t="shared" ref="R88:R105" si="28">IF(OR(G89=0,A$13&lt;&gt;1,MONTH(G88+1)=3),0,(G88&lt;&gt;G89)*((TEXT(G88,"MMTT")&gt;"022"&amp;CHOOSE((MOD(YEAR(G88),4)=0)+1,8,9))*((MOD(YEAR(G88),4)=0)-2)+(YEAR(G89)-YEAR(G88)+1)*2-MAX(0,DOLLAR((YEAR(G89)-YEAR(G88)+1-(MOD(YEAR(G88),4)&gt;0)*(4-MOD(YEAR(G88),4)))/4+0.49,0))+(TEXT(G89,"MMTT")&lt;"022"&amp;CHOOSE((MOD(YEAR(G89),4)=0)+1,8,9))*((MOD(YEAR(G89),4)=0)-2)-(MONTH(G88+1)=3)*(MONTH(G88)=2)*(30-DAY(G88))))</f>
        <v>0</v>
      </c>
      <c r="S88" s="82">
        <f t="shared" si="24"/>
        <v>0</v>
      </c>
      <c r="T88" s="88">
        <f t="shared" si="11"/>
        <v>0</v>
      </c>
      <c r="U88" s="87">
        <f t="shared" ref="U88:U105" si="29">IF(B88=0,0,V88*(J88-T88)*V$21/M$6)</f>
        <v>0</v>
      </c>
      <c r="V88" s="86">
        <f>IF(OR(V$19=0,V$21=0,B88=0),0,2*(V$19-I88)-(V$19-I88)*((1+N88/(U$20*100))^(U$20*(SUM(J88:J$200)-T88)/Q$2)))</f>
        <v>0</v>
      </c>
      <c r="W88" s="86">
        <f>IF(B86=M$18,S$19,IF(B88=0,0,IF(A$10=1,IF(F89="z",SUM(U$23:U88)-SUM(W$23:W87),0),U88)))</f>
        <v>0</v>
      </c>
    </row>
    <row r="89" spans="2:23" x14ac:dyDescent="0.25">
      <c r="B89" s="23">
        <f>IF(AND(G89="",G90&gt;0)," ",IF(G89="",0,MAX(B$22:B88)+1))</f>
        <v>0</v>
      </c>
      <c r="C89" s="83">
        <f t="shared" ref="C89:C97" si="30">IF(AND(B89=0,I89&lt;&gt;0,I89=E$17),M$1,0)</f>
        <v>0</v>
      </c>
      <c r="D89" s="40"/>
      <c r="E89" s="33"/>
      <c r="F89" s="26"/>
      <c r="G89" s="84"/>
      <c r="H89" s="85"/>
      <c r="I89" s="86">
        <f t="shared" si="12"/>
        <v>0</v>
      </c>
      <c r="J89" s="87">
        <f t="shared" si="25"/>
        <v>0</v>
      </c>
      <c r="K89" s="86">
        <f t="shared" ref="K89:K105" si="31">IF(B87=M$18,S$20,IF(B89=0,0,ROUND(I89*N89*J89/M$6,K$22)))</f>
        <v>0</v>
      </c>
      <c r="L89" s="58">
        <f t="shared" si="21"/>
        <v>0</v>
      </c>
      <c r="M89" s="23">
        <f t="shared" si="26"/>
        <v>499.58077636400003</v>
      </c>
      <c r="N89" s="79">
        <f>LOOKUP(2,1/(H$22:H89&lt;&gt;""),H$22:H89)*IF(A$12=1,(1+LOOKUP(2,1/(H$22:H89&lt;&gt;""),H$22:H89)*J89/M$6),1)</f>
        <v>2.5</v>
      </c>
      <c r="O89" s="50">
        <f t="shared" ref="O89:O104" si="32">IF(B89=0,0,IF(M$3=3,0,E89)+IF(A$10=1,L89,K89))</f>
        <v>0</v>
      </c>
      <c r="P89" s="87">
        <f t="shared" si="23"/>
        <v>720</v>
      </c>
      <c r="Q89" s="82" t="e">
        <f t="shared" si="27"/>
        <v>#DIV/0!</v>
      </c>
      <c r="R89" s="88">
        <f t="shared" si="28"/>
        <v>0</v>
      </c>
      <c r="S89" s="82">
        <f t="shared" si="24"/>
        <v>0</v>
      </c>
      <c r="T89" s="88">
        <f t="shared" ref="T89:T105" si="33">IF(T90&gt;0,J89,IF(OR(W$22-G89&lt;=0,G89=0),0,IF(A$11=1,DAYS360(G89,W$22),W$22-G89)))</f>
        <v>0</v>
      </c>
      <c r="U89" s="87">
        <f t="shared" si="29"/>
        <v>0</v>
      </c>
      <c r="V89" s="86">
        <f>IF(OR(V$19=0,V$21=0,B89=0),0,2*(V$19-I89)-(V$19-I89)*((1+N89/(U$20*100))^(U$20*(SUM(J89:J$200)-T89)/Q$2)))</f>
        <v>0</v>
      </c>
      <c r="W89" s="86">
        <f>IF(B87=M$18,S$19,IF(B89=0,0,IF(A$10=1,IF(F90="z",SUM(U$23:U89)-SUM(W$23:W88),0),U89)))</f>
        <v>0</v>
      </c>
    </row>
    <row r="90" spans="2:23" x14ac:dyDescent="0.25">
      <c r="B90" s="23">
        <f>IF(AND(G90="",G91&gt;0)," ",IF(G90="",0,MAX(B$22:B89)+1))</f>
        <v>0</v>
      </c>
      <c r="C90" s="83">
        <f t="shared" si="30"/>
        <v>0</v>
      </c>
      <c r="D90" s="40"/>
      <c r="E90" s="33"/>
      <c r="F90" s="26"/>
      <c r="G90" s="84"/>
      <c r="H90" s="85"/>
      <c r="I90" s="86">
        <f t="shared" si="12"/>
        <v>0</v>
      </c>
      <c r="J90" s="87">
        <f t="shared" si="25"/>
        <v>0</v>
      </c>
      <c r="K90" s="86">
        <f t="shared" si="31"/>
        <v>0</v>
      </c>
      <c r="L90" s="58">
        <f t="shared" si="21"/>
        <v>0</v>
      </c>
      <c r="M90" s="23">
        <f t="shared" si="26"/>
        <v>499.58077636400003</v>
      </c>
      <c r="N90" s="79">
        <f>LOOKUP(2,1/(H$22:H90&lt;&gt;""),H$22:H90)*IF(A$12=1,(1+LOOKUP(2,1/(H$22:H90&lt;&gt;""),H$22:H90)*J90/M$6),1)</f>
        <v>2.5</v>
      </c>
      <c r="O90" s="50">
        <f t="shared" si="32"/>
        <v>0</v>
      </c>
      <c r="P90" s="87">
        <f t="shared" si="23"/>
        <v>720</v>
      </c>
      <c r="Q90" s="82" t="e">
        <f t="shared" si="27"/>
        <v>#DIV/0!</v>
      </c>
      <c r="R90" s="88">
        <f t="shared" si="28"/>
        <v>0</v>
      </c>
      <c r="S90" s="82">
        <f t="shared" si="24"/>
        <v>0</v>
      </c>
      <c r="T90" s="88">
        <f t="shared" si="33"/>
        <v>0</v>
      </c>
      <c r="U90" s="87">
        <f t="shared" si="29"/>
        <v>0</v>
      </c>
      <c r="V90" s="86">
        <f>IF(OR(V$19=0,V$21=0,B90=0),0,2*(V$19-I90)-(V$19-I90)*((1+N90/(U$20*100))^(U$20*(SUM(J90:J$200)-T90)/Q$2)))</f>
        <v>0</v>
      </c>
      <c r="W90" s="86">
        <f>IF(B88=M$18,S$19,IF(B90=0,0,IF(A$10=1,IF(F91="z",SUM(U$23:U90)-SUM(W$23:W89),0),U90)))</f>
        <v>0</v>
      </c>
    </row>
    <row r="91" spans="2:23" x14ac:dyDescent="0.25">
      <c r="B91" s="23">
        <f>IF(AND(G91="",G92&gt;0)," ",IF(G91="",0,MAX(B$22:B90)+1))</f>
        <v>0</v>
      </c>
      <c r="C91" s="83">
        <f t="shared" si="30"/>
        <v>0</v>
      </c>
      <c r="D91" s="40"/>
      <c r="E91" s="33"/>
      <c r="F91" s="26"/>
      <c r="G91" s="84"/>
      <c r="H91" s="85"/>
      <c r="I91" s="86">
        <f t="shared" ref="I91:I105" si="34">IF(B91=0,0,I90+E91+IF(A$10&gt;1,K90,L90)+W90)</f>
        <v>0</v>
      </c>
      <c r="J91" s="87">
        <f t="shared" si="25"/>
        <v>0</v>
      </c>
      <c r="K91" s="86">
        <f t="shared" si="31"/>
        <v>0</v>
      </c>
      <c r="L91" s="58">
        <f t="shared" si="21"/>
        <v>0</v>
      </c>
      <c r="M91" s="23">
        <f t="shared" si="26"/>
        <v>499.58077636400003</v>
      </c>
      <c r="N91" s="79">
        <f>LOOKUP(2,1/(H$22:H91&lt;&gt;""),H$22:H91)*IF(A$12=1,(1+LOOKUP(2,1/(H$22:H91&lt;&gt;""),H$22:H91)*J91/M$6),1)</f>
        <v>2.5</v>
      </c>
      <c r="O91" s="50">
        <f t="shared" si="32"/>
        <v>0</v>
      </c>
      <c r="P91" s="87">
        <f t="shared" si="23"/>
        <v>720</v>
      </c>
      <c r="Q91" s="82" t="e">
        <f t="shared" si="27"/>
        <v>#DIV/0!</v>
      </c>
      <c r="R91" s="88">
        <f t="shared" si="28"/>
        <v>0</v>
      </c>
      <c r="S91" s="82">
        <f t="shared" si="24"/>
        <v>0</v>
      </c>
      <c r="T91" s="88">
        <f t="shared" si="33"/>
        <v>0</v>
      </c>
      <c r="U91" s="87">
        <f t="shared" si="29"/>
        <v>0</v>
      </c>
      <c r="V91" s="86">
        <f>IF(OR(V$19=0,V$21=0,B91=0),0,2*(V$19-I91)-(V$19-I91)*((1+N91/(U$20*100))^(U$20*(SUM(J91:J$200)-T91)/Q$2)))</f>
        <v>0</v>
      </c>
      <c r="W91" s="86">
        <f>IF(B89=M$18,S$19,IF(B91=0,0,IF(A$10=1,IF(F92="z",SUM(U$23:U91)-SUM(W$23:W90),0),U91)))</f>
        <v>0</v>
      </c>
    </row>
    <row r="92" spans="2:23" x14ac:dyDescent="0.25">
      <c r="B92" s="23">
        <f>IF(AND(G92="",G93&gt;0)," ",IF(G92="",0,MAX(B$22:B91)+1))</f>
        <v>0</v>
      </c>
      <c r="C92" s="83">
        <f t="shared" si="30"/>
        <v>0</v>
      </c>
      <c r="D92" s="40"/>
      <c r="E92" s="33"/>
      <c r="F92" s="26"/>
      <c r="G92" s="84"/>
      <c r="H92" s="85"/>
      <c r="I92" s="86">
        <f t="shared" si="34"/>
        <v>0</v>
      </c>
      <c r="J92" s="87">
        <f t="shared" si="25"/>
        <v>0</v>
      </c>
      <c r="K92" s="86">
        <f t="shared" si="31"/>
        <v>0</v>
      </c>
      <c r="L92" s="58">
        <f t="shared" si="21"/>
        <v>0</v>
      </c>
      <c r="M92" s="23">
        <f t="shared" si="26"/>
        <v>499.58077636400003</v>
      </c>
      <c r="N92" s="79">
        <f>LOOKUP(2,1/(H$22:H92&lt;&gt;""),H$22:H92)*IF(A$12=1,(1+LOOKUP(2,1/(H$22:H92&lt;&gt;""),H$22:H92)*J92/M$6),1)</f>
        <v>2.5</v>
      </c>
      <c r="O92" s="50">
        <f t="shared" si="32"/>
        <v>0</v>
      </c>
      <c r="P92" s="87">
        <f t="shared" si="23"/>
        <v>720</v>
      </c>
      <c r="Q92" s="82" t="e">
        <f t="shared" si="27"/>
        <v>#DIV/0!</v>
      </c>
      <c r="R92" s="88">
        <f t="shared" si="28"/>
        <v>0</v>
      </c>
      <c r="S92" s="82">
        <f t="shared" si="24"/>
        <v>0</v>
      </c>
      <c r="T92" s="88">
        <f t="shared" si="33"/>
        <v>0</v>
      </c>
      <c r="U92" s="87">
        <f t="shared" si="29"/>
        <v>0</v>
      </c>
      <c r="V92" s="86">
        <f>IF(OR(V$19=0,V$21=0,B92=0),0,2*(V$19-I92)-(V$19-I92)*((1+N92/(U$20*100))^(U$20*(SUM(J92:J$200)-T92)/Q$2)))</f>
        <v>0</v>
      </c>
      <c r="W92" s="86">
        <f>IF(B90=M$18,S$19,IF(B92=0,0,IF(A$10=1,IF(F93="z",SUM(U$23:U92)-SUM(W$23:W91),0),U92)))</f>
        <v>0</v>
      </c>
    </row>
    <row r="93" spans="2:23" x14ac:dyDescent="0.25">
      <c r="B93" s="23">
        <f>IF(AND(G93="",G94&gt;0)," ",IF(G93="",0,MAX(B$22:B92)+1))</f>
        <v>0</v>
      </c>
      <c r="C93" s="83">
        <f t="shared" si="30"/>
        <v>0</v>
      </c>
      <c r="D93" s="40"/>
      <c r="E93" s="33"/>
      <c r="F93" s="26"/>
      <c r="G93" s="90"/>
      <c r="H93" s="85"/>
      <c r="I93" s="86">
        <f t="shared" si="34"/>
        <v>0</v>
      </c>
      <c r="J93" s="87">
        <f t="shared" si="25"/>
        <v>0</v>
      </c>
      <c r="K93" s="86">
        <f t="shared" si="31"/>
        <v>0</v>
      </c>
      <c r="L93" s="58">
        <f t="shared" si="21"/>
        <v>0</v>
      </c>
      <c r="M93" s="23">
        <f t="shared" si="26"/>
        <v>499.58077636400003</v>
      </c>
      <c r="N93" s="79">
        <f>LOOKUP(2,1/(H$22:H93&lt;&gt;""),H$22:H93)*IF(A$12=1,(1+LOOKUP(2,1/(H$22:H93&lt;&gt;""),H$22:H93)*J93/M$6),1)</f>
        <v>2.5</v>
      </c>
      <c r="O93" s="50">
        <f t="shared" si="32"/>
        <v>0</v>
      </c>
      <c r="P93" s="87">
        <f t="shared" si="23"/>
        <v>720</v>
      </c>
      <c r="Q93" s="82" t="e">
        <f t="shared" si="27"/>
        <v>#DIV/0!</v>
      </c>
      <c r="R93" s="88">
        <f t="shared" si="28"/>
        <v>0</v>
      </c>
      <c r="S93" s="82">
        <f t="shared" si="24"/>
        <v>0</v>
      </c>
      <c r="T93" s="88">
        <f t="shared" si="33"/>
        <v>0</v>
      </c>
      <c r="U93" s="87">
        <f t="shared" si="29"/>
        <v>0</v>
      </c>
      <c r="V93" s="86">
        <f>IF(OR(V$19=0,V$21=0,B93=0),0,2*(V$19-I93)-(V$19-I93)*((1+N93/(U$20*100))^(U$20*(SUM(J93:J$200)-T93)/Q$2)))</f>
        <v>0</v>
      </c>
      <c r="W93" s="86">
        <f>IF(B91=M$18,S$19,IF(B93=0,0,IF(A$10=1,IF(F94="z",SUM(U$23:U93)-SUM(W$23:W92),0),U93)))</f>
        <v>0</v>
      </c>
    </row>
    <row r="94" spans="2:23" x14ac:dyDescent="0.25">
      <c r="B94" s="23">
        <f>IF(AND(G94="",G95&gt;0)," ",IF(G94="",0,MAX(B$22:B93)+1))</f>
        <v>0</v>
      </c>
      <c r="C94" s="83">
        <f t="shared" si="30"/>
        <v>0</v>
      </c>
      <c r="D94" s="40"/>
      <c r="E94" s="33"/>
      <c r="F94" s="26"/>
      <c r="G94" s="90"/>
      <c r="H94" s="85"/>
      <c r="I94" s="86">
        <f t="shared" si="34"/>
        <v>0</v>
      </c>
      <c r="J94" s="87">
        <f t="shared" si="25"/>
        <v>0</v>
      </c>
      <c r="K94" s="86">
        <f t="shared" si="31"/>
        <v>0</v>
      </c>
      <c r="L94" s="58">
        <f t="shared" si="21"/>
        <v>0</v>
      </c>
      <c r="M94" s="23">
        <f t="shared" si="26"/>
        <v>499.58077636400003</v>
      </c>
      <c r="N94" s="79">
        <f>LOOKUP(2,1/(H$22:H94&lt;&gt;""),H$22:H94)*IF(A$12=1,(1+LOOKUP(2,1/(H$22:H94&lt;&gt;""),H$22:H94)*J94/M$6),1)</f>
        <v>2.5</v>
      </c>
      <c r="O94" s="50">
        <f t="shared" si="32"/>
        <v>0</v>
      </c>
      <c r="P94" s="87">
        <f t="shared" si="23"/>
        <v>720</v>
      </c>
      <c r="Q94" s="82" t="e">
        <f t="shared" si="27"/>
        <v>#DIV/0!</v>
      </c>
      <c r="R94" s="88">
        <f t="shared" si="28"/>
        <v>0</v>
      </c>
      <c r="S94" s="82">
        <f t="shared" si="24"/>
        <v>0</v>
      </c>
      <c r="T94" s="88">
        <f t="shared" si="33"/>
        <v>0</v>
      </c>
      <c r="U94" s="87">
        <f t="shared" si="29"/>
        <v>0</v>
      </c>
      <c r="V94" s="86">
        <f>IF(OR(V$19=0,V$21=0,B94=0),0,2*(V$19-I94)-(V$19-I94)*((1+N94/(U$20*100))^(U$20*(SUM(J94:J$200)-T94)/Q$2)))</f>
        <v>0</v>
      </c>
      <c r="W94" s="86">
        <f>IF(B92=M$18,S$19,IF(B94=0,0,IF(A$10=1,IF(F95="z",SUM(U$23:U94)-SUM(W$23:W93),0),U94)))</f>
        <v>0</v>
      </c>
    </row>
    <row r="95" spans="2:23" x14ac:dyDescent="0.25">
      <c r="B95" s="23">
        <f>IF(AND(G95="",G96&gt;0)," ",IF(G95="",0,MAX(B$22:B94)+1))</f>
        <v>0</v>
      </c>
      <c r="C95" s="83">
        <f t="shared" si="30"/>
        <v>0</v>
      </c>
      <c r="D95" s="40"/>
      <c r="E95" s="33"/>
      <c r="F95" s="26"/>
      <c r="G95" s="90"/>
      <c r="H95" s="85"/>
      <c r="I95" s="86">
        <f t="shared" si="34"/>
        <v>0</v>
      </c>
      <c r="J95" s="87">
        <f t="shared" si="25"/>
        <v>0</v>
      </c>
      <c r="K95" s="86">
        <f t="shared" si="31"/>
        <v>0</v>
      </c>
      <c r="L95" s="58">
        <f t="shared" si="21"/>
        <v>0</v>
      </c>
      <c r="M95" s="23">
        <f t="shared" si="26"/>
        <v>499.58077636400003</v>
      </c>
      <c r="N95" s="79">
        <f>LOOKUP(2,1/(H$22:H95&lt;&gt;""),H$22:H95)*IF(A$12=1,(1+LOOKUP(2,1/(H$22:H95&lt;&gt;""),H$22:H95)*J95/M$6),1)</f>
        <v>2.5</v>
      </c>
      <c r="O95" s="50">
        <f t="shared" si="32"/>
        <v>0</v>
      </c>
      <c r="P95" s="87">
        <f t="shared" si="23"/>
        <v>720</v>
      </c>
      <c r="Q95" s="82" t="e">
        <f t="shared" si="27"/>
        <v>#DIV/0!</v>
      </c>
      <c r="R95" s="88">
        <f t="shared" si="28"/>
        <v>0</v>
      </c>
      <c r="S95" s="82">
        <f t="shared" si="24"/>
        <v>0</v>
      </c>
      <c r="T95" s="88">
        <f t="shared" si="33"/>
        <v>0</v>
      </c>
      <c r="U95" s="87">
        <f t="shared" si="29"/>
        <v>0</v>
      </c>
      <c r="V95" s="86">
        <f>IF(OR(V$19=0,V$21=0,B95=0),0,2*(V$19-I95)-(V$19-I95)*((1+N95/(U$20*100))^(U$20*(SUM(J95:J$200)-T95)/Q$2)))</f>
        <v>0</v>
      </c>
      <c r="W95" s="86">
        <f>IF(B93=M$18,S$19,IF(B95=0,0,IF(A$10=1,IF(F96="z",SUM(U$23:U95)-SUM(W$23:W94),0),U95)))</f>
        <v>0</v>
      </c>
    </row>
    <row r="96" spans="2:23" x14ac:dyDescent="0.25">
      <c r="B96" s="23">
        <f>IF(AND(G96="",G97&gt;0)," ",IF(G96="",0,MAX(B$22:B95)+1))</f>
        <v>0</v>
      </c>
      <c r="C96" s="83">
        <f t="shared" si="30"/>
        <v>0</v>
      </c>
      <c r="D96" s="40"/>
      <c r="E96" s="38"/>
      <c r="F96" s="26"/>
      <c r="G96" s="90"/>
      <c r="H96" s="85"/>
      <c r="I96" s="86">
        <f t="shared" si="34"/>
        <v>0</v>
      </c>
      <c r="J96" s="87">
        <f t="shared" si="25"/>
        <v>0</v>
      </c>
      <c r="K96" s="86">
        <f t="shared" si="31"/>
        <v>0</v>
      </c>
      <c r="L96" s="58">
        <f t="shared" si="21"/>
        <v>0</v>
      </c>
      <c r="M96" s="23">
        <f t="shared" si="26"/>
        <v>499.58077636400003</v>
      </c>
      <c r="N96" s="79">
        <f>LOOKUP(2,1/(H$22:H96&lt;&gt;""),H$22:H96)*IF(A$12=1,(1+LOOKUP(2,1/(H$22:H96&lt;&gt;""),H$22:H96)*J96/M$6),1)</f>
        <v>2.5</v>
      </c>
      <c r="O96" s="50">
        <f t="shared" si="32"/>
        <v>0</v>
      </c>
      <c r="P96" s="87">
        <f t="shared" si="23"/>
        <v>720</v>
      </c>
      <c r="Q96" s="82" t="e">
        <f t="shared" si="27"/>
        <v>#DIV/0!</v>
      </c>
      <c r="R96" s="88">
        <f t="shared" si="28"/>
        <v>0</v>
      </c>
      <c r="S96" s="82">
        <f t="shared" si="24"/>
        <v>0</v>
      </c>
      <c r="T96" s="88">
        <f t="shared" si="33"/>
        <v>0</v>
      </c>
      <c r="U96" s="87">
        <f t="shared" si="29"/>
        <v>0</v>
      </c>
      <c r="V96" s="86">
        <f>IF(OR(V$19=0,V$21=0,B96=0),0,2*(V$19-I96)-(V$19-I96)*((1+N96/(U$20*100))^(U$20*(SUM(J96:J$200)-T96)/Q$2)))</f>
        <v>0</v>
      </c>
      <c r="W96" s="86">
        <f>IF(B94=M$18,S$19,IF(B96=0,0,IF(A$10=1,IF(F97="z",SUM(U$23:U96)-SUM(W$23:W95),0),U96)))</f>
        <v>0</v>
      </c>
    </row>
    <row r="97" spans="2:23" x14ac:dyDescent="0.25">
      <c r="B97" s="23">
        <f>IF(AND(G97="",G98&gt;0)," ",IF(G97="",0,MAX(B$22:B96)+1))</f>
        <v>0</v>
      </c>
      <c r="C97" s="83">
        <f t="shared" si="30"/>
        <v>0</v>
      </c>
      <c r="D97" s="40"/>
      <c r="E97" s="38"/>
      <c r="F97" s="26"/>
      <c r="G97" s="90"/>
      <c r="H97" s="85"/>
      <c r="I97" s="86">
        <f t="shared" si="34"/>
        <v>0</v>
      </c>
      <c r="J97" s="87">
        <f t="shared" si="25"/>
        <v>0</v>
      </c>
      <c r="K97" s="86">
        <f t="shared" si="31"/>
        <v>0</v>
      </c>
      <c r="L97" s="58">
        <f t="shared" si="21"/>
        <v>0</v>
      </c>
      <c r="M97" s="23">
        <f t="shared" si="26"/>
        <v>499.58077636400003</v>
      </c>
      <c r="N97" s="79">
        <f>LOOKUP(2,1/(H$22:H97&lt;&gt;""),H$22:H97)*IF(A$12=1,(1+LOOKUP(2,1/(H$22:H97&lt;&gt;""),H$22:H97)*J97/M$6),1)</f>
        <v>2.5</v>
      </c>
      <c r="O97" s="50">
        <f t="shared" si="32"/>
        <v>0</v>
      </c>
      <c r="P97" s="87">
        <f t="shared" si="23"/>
        <v>720</v>
      </c>
      <c r="Q97" s="82" t="e">
        <f t="shared" si="27"/>
        <v>#DIV/0!</v>
      </c>
      <c r="R97" s="88">
        <f t="shared" si="28"/>
        <v>0</v>
      </c>
      <c r="S97" s="82">
        <f t="shared" si="24"/>
        <v>0</v>
      </c>
      <c r="T97" s="88">
        <f t="shared" si="33"/>
        <v>0</v>
      </c>
      <c r="U97" s="87">
        <f t="shared" si="29"/>
        <v>0</v>
      </c>
      <c r="V97" s="86">
        <f>IF(OR(V$19=0,V$21=0,B97=0),0,2*(V$19-I97)-(V$19-I97)*((1+N97/(U$20*100))^(U$20*(SUM(J97:J$200)-T97)/Q$2)))</f>
        <v>0</v>
      </c>
      <c r="W97" s="86">
        <f>IF(B95=M$18,S$19,IF(B97=0,0,IF(A$10=1,IF(F98="z",SUM(U$23:U97)-SUM(W$23:W96),0),U97)))</f>
        <v>0</v>
      </c>
    </row>
    <row r="98" spans="2:23" x14ac:dyDescent="0.25">
      <c r="B98" s="23">
        <f>IF(AND(G98="",G99&gt;0)," ",IF(G98="",0,MAX(B$22:B97)+1))</f>
        <v>0</v>
      </c>
      <c r="C98" s="83">
        <f>IF($A$4=7.1,"W a l t e r   F R I C K E,   M o n h e i m   (W F)",IF(AND(B98=0,I98&lt;&gt;0,I98=E$17),M$1,0))</f>
        <v>0</v>
      </c>
      <c r="D98" s="40"/>
      <c r="E98" s="33"/>
      <c r="F98" s="26"/>
      <c r="G98" s="90"/>
      <c r="H98" s="85"/>
      <c r="I98" s="86">
        <f t="shared" si="34"/>
        <v>0</v>
      </c>
      <c r="J98" s="87">
        <f t="shared" si="25"/>
        <v>0</v>
      </c>
      <c r="K98" s="86">
        <f t="shared" si="31"/>
        <v>0</v>
      </c>
      <c r="L98" s="58">
        <f t="shared" si="21"/>
        <v>0</v>
      </c>
      <c r="M98" s="23">
        <f t="shared" si="26"/>
        <v>499.58077636400003</v>
      </c>
      <c r="N98" s="79">
        <f>LOOKUP(2,1/(H$22:H98&lt;&gt;""),H$22:H98)*IF(A$12=1,(1+LOOKUP(2,1/(H$22:H98&lt;&gt;""),H$22:H98)*J98/M$6),1)</f>
        <v>2.5</v>
      </c>
      <c r="O98" s="50">
        <f t="shared" si="32"/>
        <v>0</v>
      </c>
      <c r="P98" s="87">
        <f t="shared" si="23"/>
        <v>720</v>
      </c>
      <c r="Q98" s="82" t="e">
        <f t="shared" si="27"/>
        <v>#DIV/0!</v>
      </c>
      <c r="R98" s="88">
        <f t="shared" si="28"/>
        <v>0</v>
      </c>
      <c r="S98" s="82">
        <f t="shared" si="24"/>
        <v>0</v>
      </c>
      <c r="T98" s="88">
        <f t="shared" si="33"/>
        <v>0</v>
      </c>
      <c r="U98" s="87">
        <f t="shared" si="29"/>
        <v>0</v>
      </c>
      <c r="V98" s="86">
        <f>IF(OR(V$19=0,V$21=0,B98=0),0,2*(V$19-I98)-(V$19-I98)*((1+N98/(U$20*100))^(U$20*(SUM(J98:J$200)-T98)/Q$2)))</f>
        <v>0</v>
      </c>
      <c r="W98" s="86">
        <f>IF(B96=M$18,S$19,IF(B98=0,0,IF(A$10=1,IF(F99="z",SUM(U$23:U98)-SUM(W$23:W97),0),U98)))</f>
        <v>0</v>
      </c>
    </row>
    <row r="99" spans="2:23" x14ac:dyDescent="0.25">
      <c r="B99" s="23">
        <f>IF(AND(G99="",G100&gt;0)," ",IF(G99="",0,MAX(B$22:B98)+1))</f>
        <v>0</v>
      </c>
      <c r="C99" s="83">
        <f>IF(AND(B99=0,I99&lt;&gt;0,I99=E$17),M$1,0)</f>
        <v>0</v>
      </c>
      <c r="D99" s="40"/>
      <c r="E99" s="33"/>
      <c r="F99" s="26"/>
      <c r="G99" s="90"/>
      <c r="H99" s="85"/>
      <c r="I99" s="86">
        <f t="shared" si="34"/>
        <v>0</v>
      </c>
      <c r="J99" s="87">
        <f t="shared" si="25"/>
        <v>0</v>
      </c>
      <c r="K99" s="86">
        <f t="shared" si="31"/>
        <v>0</v>
      </c>
      <c r="L99" s="58">
        <f t="shared" si="21"/>
        <v>0</v>
      </c>
      <c r="M99" s="23">
        <f t="shared" si="26"/>
        <v>499.58077636400003</v>
      </c>
      <c r="N99" s="79">
        <f>LOOKUP(2,1/(H$22:H99&lt;&gt;""),H$22:H99)*IF(A$12=1,(1+LOOKUP(2,1/(H$22:H99&lt;&gt;""),H$22:H99)*J99/M$6),1)</f>
        <v>2.5</v>
      </c>
      <c r="O99" s="50">
        <f t="shared" si="32"/>
        <v>0</v>
      </c>
      <c r="P99" s="87">
        <f t="shared" si="23"/>
        <v>720</v>
      </c>
      <c r="Q99" s="82" t="e">
        <f t="shared" si="27"/>
        <v>#DIV/0!</v>
      </c>
      <c r="R99" s="88">
        <f t="shared" si="28"/>
        <v>0</v>
      </c>
      <c r="S99" s="82">
        <f t="shared" si="24"/>
        <v>0</v>
      </c>
      <c r="T99" s="88">
        <f t="shared" si="33"/>
        <v>0</v>
      </c>
      <c r="U99" s="87">
        <f t="shared" si="29"/>
        <v>0</v>
      </c>
      <c r="V99" s="86">
        <f>IF(OR(V$19=0,V$21=0,B99=0),0,2*(V$19-I99)-(V$19-I99)*((1+N99/(U$20*100))^(U$20*(SUM(J99:J$200)-T99)/Q$2)))</f>
        <v>0</v>
      </c>
      <c r="W99" s="86">
        <f>IF(B97=M$18,S$19,IF(B99=0,0,IF(A$10=1,IF(F100="z",SUM(U$23:U99)-SUM(W$23:W98),0),U99)))</f>
        <v>0</v>
      </c>
    </row>
    <row r="100" spans="2:23" x14ac:dyDescent="0.25">
      <c r="B100" s="23">
        <f>IF(AND(G100="",G101&gt;0)," ",IF(G100="",0,MAX(B$22:B99)+1))</f>
        <v>0</v>
      </c>
      <c r="C100" s="83">
        <f>IF(AND(B100=0,I100&lt;&gt;0,I100=E$17),M$1,0)</f>
        <v>0</v>
      </c>
      <c r="D100" s="40"/>
      <c r="E100" s="33"/>
      <c r="F100" s="26"/>
      <c r="G100" s="90"/>
      <c r="H100" s="85"/>
      <c r="I100" s="86">
        <f t="shared" si="34"/>
        <v>0</v>
      </c>
      <c r="J100" s="87">
        <f t="shared" si="25"/>
        <v>0</v>
      </c>
      <c r="K100" s="86">
        <f t="shared" si="31"/>
        <v>0</v>
      </c>
      <c r="L100" s="58">
        <f t="shared" si="21"/>
        <v>0</v>
      </c>
      <c r="M100" s="23">
        <f t="shared" si="26"/>
        <v>499.58077636400003</v>
      </c>
      <c r="N100" s="79">
        <f>LOOKUP(2,1/(H$22:H100&lt;&gt;""),H$22:H100)*IF(A$12=1,(1+LOOKUP(2,1/(H$22:H100&lt;&gt;""),H$22:H100)*J100/M$6),1)</f>
        <v>2.5</v>
      </c>
      <c r="O100" s="50">
        <f t="shared" si="32"/>
        <v>0</v>
      </c>
      <c r="P100" s="87">
        <f t="shared" si="23"/>
        <v>720</v>
      </c>
      <c r="Q100" s="82" t="e">
        <f t="shared" si="27"/>
        <v>#DIV/0!</v>
      </c>
      <c r="R100" s="88">
        <f t="shared" si="28"/>
        <v>0</v>
      </c>
      <c r="S100" s="82">
        <f t="shared" si="24"/>
        <v>0</v>
      </c>
      <c r="T100" s="88">
        <f t="shared" si="33"/>
        <v>0</v>
      </c>
      <c r="U100" s="87">
        <f t="shared" si="29"/>
        <v>0</v>
      </c>
      <c r="V100" s="86">
        <f>IF(OR(V$19=0,V$21=0,B100=0),0,2*(V$19-I100)-(V$19-I100)*((1+N100/(U$20*100))^(U$20*(SUM(J100:J$200)-T100)/Q$2)))</f>
        <v>0</v>
      </c>
      <c r="W100" s="86">
        <f>IF(B98=M$18,S$19,IF(B100=0,0,IF(A$10=1,IF(F101="z",SUM(U$23:U100)-SUM(W$23:W99),0),U100)))</f>
        <v>0</v>
      </c>
    </row>
    <row r="101" spans="2:23" x14ac:dyDescent="0.25">
      <c r="B101" s="23">
        <f>IF(AND(G101="",G102&gt;0)," ",IF(G101="",0,MAX(B$22:B100)+1))</f>
        <v>0</v>
      </c>
      <c r="C101" s="83">
        <f>IF(AND(B101=0,I101&lt;&gt;0,I101=E$17),M$1,0)</f>
        <v>0</v>
      </c>
      <c r="D101" s="40"/>
      <c r="E101" s="38"/>
      <c r="F101" s="26"/>
      <c r="G101" s="90"/>
      <c r="H101" s="85"/>
      <c r="I101" s="86">
        <f t="shared" si="34"/>
        <v>0</v>
      </c>
      <c r="J101" s="87">
        <f t="shared" si="25"/>
        <v>0</v>
      </c>
      <c r="K101" s="86">
        <f t="shared" si="31"/>
        <v>0</v>
      </c>
      <c r="L101" s="58">
        <f t="shared" si="21"/>
        <v>0</v>
      </c>
      <c r="M101" s="23">
        <f t="shared" si="26"/>
        <v>499.58077636400003</v>
      </c>
      <c r="N101" s="79">
        <f>LOOKUP(2,1/(H$22:H101&lt;&gt;""),H$22:H101)*IF(A$12=1,(1+LOOKUP(2,1/(H$22:H101&lt;&gt;""),H$22:H101)*J101/M$6),1)</f>
        <v>2.5</v>
      </c>
      <c r="O101" s="50">
        <f t="shared" si="32"/>
        <v>0</v>
      </c>
      <c r="P101" s="87">
        <f t="shared" si="23"/>
        <v>720</v>
      </c>
      <c r="Q101" s="82" t="e">
        <f t="shared" si="27"/>
        <v>#DIV/0!</v>
      </c>
      <c r="R101" s="88">
        <f t="shared" si="28"/>
        <v>0</v>
      </c>
      <c r="S101" s="82">
        <f t="shared" si="24"/>
        <v>0</v>
      </c>
      <c r="T101" s="88">
        <f t="shared" si="33"/>
        <v>0</v>
      </c>
      <c r="U101" s="87">
        <f t="shared" si="29"/>
        <v>0</v>
      </c>
      <c r="V101" s="86">
        <f>IF(OR(V$19=0,V$21=0,B101=0),0,2*(V$19-I101)-(V$19-I101)*((1+N101/(U$20*100))^(U$20*(SUM(J101:J$200)-T101)/Q$2)))</f>
        <v>0</v>
      </c>
      <c r="W101" s="86">
        <f>IF(B99=M$18,S$19,IF(B101=0,0,IF(A$10=1,IF(F102="z",SUM(U$23:U101)-SUM(W$23:W100),0),U101)))</f>
        <v>0</v>
      </c>
    </row>
    <row r="102" spans="2:23" x14ac:dyDescent="0.25">
      <c r="B102" s="23">
        <f>IF(AND(G102="",G103&gt;0)," ",IF(G102="",0,MAX(B$22:B101)+1))</f>
        <v>0</v>
      </c>
      <c r="C102" s="83">
        <f>IF($A$4=24,"24.02.1949 in Bremerhaven",IF(AND(B102=0,I102&lt;&gt;0,I102=E$17),M$1,0))</f>
        <v>0</v>
      </c>
      <c r="D102" s="40"/>
      <c r="E102" s="38"/>
      <c r="F102" s="26"/>
      <c r="G102" s="90"/>
      <c r="H102" s="85"/>
      <c r="I102" s="86">
        <f t="shared" si="34"/>
        <v>0</v>
      </c>
      <c r="J102" s="87">
        <f t="shared" si="25"/>
        <v>0</v>
      </c>
      <c r="K102" s="86">
        <f t="shared" si="31"/>
        <v>0</v>
      </c>
      <c r="L102" s="58">
        <f t="shared" si="21"/>
        <v>0</v>
      </c>
      <c r="M102" s="23">
        <f t="shared" si="26"/>
        <v>499.58077636400003</v>
      </c>
      <c r="N102" s="79">
        <f>LOOKUP(2,1/(H$22:H102&lt;&gt;""),H$22:H102)*IF(A$12=1,(1+LOOKUP(2,1/(H$22:H102&lt;&gt;""),H$22:H102)*J102/M$6),1)</f>
        <v>2.5</v>
      </c>
      <c r="O102" s="50">
        <f t="shared" si="32"/>
        <v>0</v>
      </c>
      <c r="P102" s="87">
        <f t="shared" si="23"/>
        <v>720</v>
      </c>
      <c r="Q102" s="82" t="e">
        <f t="shared" si="27"/>
        <v>#DIV/0!</v>
      </c>
      <c r="R102" s="88">
        <f t="shared" si="28"/>
        <v>0</v>
      </c>
      <c r="S102" s="82">
        <f t="shared" si="24"/>
        <v>0</v>
      </c>
      <c r="T102" s="88">
        <f t="shared" si="33"/>
        <v>0</v>
      </c>
      <c r="U102" s="87">
        <f t="shared" si="29"/>
        <v>0</v>
      </c>
      <c r="V102" s="86">
        <f>IF(OR(V$19=0,V$21=0,B102=0),0,2*(V$19-I102)-(V$19-I102)*((1+N102/(U$20*100))^(U$20*(SUM(J102:J$200)-T102)/Q$2)))</f>
        <v>0</v>
      </c>
      <c r="W102" s="86">
        <f>IF(B100=M$18,S$19,IF(B102=0,0,IF(A$10=1,IF(F103="z",SUM(U$23:U102)-SUM(W$23:W101),0),U102)))</f>
        <v>0</v>
      </c>
    </row>
    <row r="103" spans="2:23" x14ac:dyDescent="0.25">
      <c r="B103" s="23">
        <f>IF(AND(G103="",G104&gt;0)," ",IF(G103="",0,MAX(B$22:B102)+1))</f>
        <v>0</v>
      </c>
      <c r="C103" s="83">
        <f>IF(AND(B103=0,I103&lt;&gt;0,I103=E$17),M$1,0)</f>
        <v>0</v>
      </c>
      <c r="D103" s="40"/>
      <c r="E103" s="33"/>
      <c r="F103" s="26"/>
      <c r="G103" s="90"/>
      <c r="H103" s="85"/>
      <c r="I103" s="86">
        <f t="shared" si="34"/>
        <v>0</v>
      </c>
      <c r="J103" s="87">
        <f t="shared" si="25"/>
        <v>0</v>
      </c>
      <c r="K103" s="86">
        <f t="shared" si="31"/>
        <v>0</v>
      </c>
      <c r="L103" s="58">
        <f t="shared" si="21"/>
        <v>0</v>
      </c>
      <c r="M103" s="23">
        <f t="shared" si="26"/>
        <v>499.58077636400003</v>
      </c>
      <c r="N103" s="79">
        <f>LOOKUP(2,1/(H$22:H103&lt;&gt;""),H$22:H103)*IF(A$12=1,(1+LOOKUP(2,1/(H$22:H103&lt;&gt;""),H$22:H103)*J103/M$6),1)</f>
        <v>2.5</v>
      </c>
      <c r="O103" s="50">
        <f t="shared" si="32"/>
        <v>0</v>
      </c>
      <c r="P103" s="87">
        <f t="shared" si="23"/>
        <v>720</v>
      </c>
      <c r="Q103" s="82" t="e">
        <f t="shared" si="27"/>
        <v>#DIV/0!</v>
      </c>
      <c r="R103" s="88">
        <f t="shared" si="28"/>
        <v>0</v>
      </c>
      <c r="S103" s="82">
        <f t="shared" si="24"/>
        <v>0</v>
      </c>
      <c r="T103" s="88">
        <f t="shared" si="33"/>
        <v>0</v>
      </c>
      <c r="U103" s="87">
        <f t="shared" si="29"/>
        <v>0</v>
      </c>
      <c r="V103" s="86">
        <f>IF(OR(V$19=0,V$21=0,B103=0),0,2*(V$19-I103)-(V$19-I103)*((1+N103/(U$20*100))^(U$20*(SUM(J103:J$200)-T103)/Q$2)))</f>
        <v>0</v>
      </c>
      <c r="W103" s="86">
        <f>IF(B101=M$18,S$19,IF(B103=0,0,IF(A$10=1,IF(F104="z",SUM(U$23:U103)-SUM(W$23:W102),0),U103)))</f>
        <v>0</v>
      </c>
    </row>
    <row r="104" spans="2:23" x14ac:dyDescent="0.25">
      <c r="B104" s="23">
        <f>IF(AND(G104="",G105&gt;0)," ",IF(G104="",0,MAX(B$22:B103)+1))</f>
        <v>0</v>
      </c>
      <c r="C104" s="83">
        <f>IF(AND(B104=0,I104&lt;&gt;0,I104=E$17),M$1,0)</f>
        <v>0</v>
      </c>
      <c r="D104" s="40"/>
      <c r="E104" s="33"/>
      <c r="F104" s="26"/>
      <c r="G104" s="90"/>
      <c r="H104" s="85"/>
      <c r="I104" s="86">
        <f t="shared" si="34"/>
        <v>0</v>
      </c>
      <c r="J104" s="87">
        <f t="shared" si="25"/>
        <v>0</v>
      </c>
      <c r="K104" s="86">
        <f t="shared" si="31"/>
        <v>0</v>
      </c>
      <c r="L104" s="58">
        <f t="shared" si="21"/>
        <v>0</v>
      </c>
      <c r="M104" s="23">
        <f t="shared" si="26"/>
        <v>499.58077636400003</v>
      </c>
      <c r="N104" s="79">
        <f>LOOKUP(2,1/(H$22:H104&lt;&gt;""),H$22:H104)*IF(A$12=1,(1+LOOKUP(2,1/(H$22:H104&lt;&gt;""),H$22:H104)*J104/M$6),1)</f>
        <v>2.5</v>
      </c>
      <c r="O104" s="50">
        <f t="shared" si="32"/>
        <v>0</v>
      </c>
      <c r="P104" s="87">
        <f t="shared" si="23"/>
        <v>720</v>
      </c>
      <c r="Q104" s="82" t="e">
        <f t="shared" si="27"/>
        <v>#DIV/0!</v>
      </c>
      <c r="R104" s="88">
        <f t="shared" si="28"/>
        <v>0</v>
      </c>
      <c r="S104" s="82">
        <f t="shared" si="24"/>
        <v>0</v>
      </c>
      <c r="T104" s="88">
        <f t="shared" si="33"/>
        <v>0</v>
      </c>
      <c r="U104" s="87">
        <f t="shared" si="29"/>
        <v>0</v>
      </c>
      <c r="V104" s="86">
        <f>IF(OR(V$19=0,V$21=0,B104=0),0,2*(V$19-I104)-(V$19-I104)*((1+N104/(U$20*100))^(U$20*(SUM(J104:J$200)-T104)/Q$2)))</f>
        <v>0</v>
      </c>
      <c r="W104" s="86">
        <f>IF(B102=M$18,S$19,IF(B104=0,0,IF(A$10=1,IF(F105="z",SUM(U$23:U104)-SUM(W$23:W103),0),U104)))</f>
        <v>0</v>
      </c>
    </row>
    <row r="105" spans="2:23" x14ac:dyDescent="0.25">
      <c r="B105" s="23">
        <f>IF(AND(G105="",G106&gt;0)," ",IF(G105="",0,MAX(B$22:B104)+1))</f>
        <v>0</v>
      </c>
      <c r="C105" s="83">
        <f>IF(AND(B105=0,I105&lt;&gt;0,I105=E$17),M$1,0)</f>
        <v>0</v>
      </c>
      <c r="D105" s="40"/>
      <c r="E105" s="33"/>
      <c r="F105" s="26"/>
      <c r="G105" s="90"/>
      <c r="H105" s="85"/>
      <c r="I105" s="86">
        <f t="shared" si="34"/>
        <v>0</v>
      </c>
      <c r="J105" s="87">
        <f t="shared" si="25"/>
        <v>0</v>
      </c>
      <c r="K105" s="86">
        <f t="shared" si="31"/>
        <v>0</v>
      </c>
      <c r="L105" s="58">
        <f t="shared" si="21"/>
        <v>0</v>
      </c>
      <c r="M105" s="23">
        <f t="shared" si="26"/>
        <v>499.58077636400003</v>
      </c>
      <c r="N105" s="79">
        <f>LOOKUP(2,1/(H$22:H105&lt;&gt;""),H$22:H105)*IF(A$12=1,(1+LOOKUP(2,1/(H$22:H105&lt;&gt;""),H$22:H105)*J105/M$6),1)</f>
        <v>2.5</v>
      </c>
      <c r="O105" s="50">
        <f>IF(B105=0,0,IF(M$3=3,0,E105)+IF(A$10=1,L105,K105))</f>
        <v>0</v>
      </c>
      <c r="P105" s="87">
        <f t="shared" si="23"/>
        <v>720</v>
      </c>
      <c r="Q105" s="82" t="e">
        <f t="shared" si="27"/>
        <v>#DIV/0!</v>
      </c>
      <c r="R105" s="88">
        <f t="shared" si="28"/>
        <v>0</v>
      </c>
      <c r="S105" s="82">
        <f>IF(I$14=1,O105+S106/IF(J105=0,1,(1+I$13/(Q$2*100/J105))),(O105+S106)/IF(J105=0,1,(1+I$13/(Q$2*100/J105))))</f>
        <v>0</v>
      </c>
      <c r="T105" s="88">
        <f t="shared" si="33"/>
        <v>0</v>
      </c>
      <c r="U105" s="87">
        <f t="shared" si="29"/>
        <v>0</v>
      </c>
      <c r="V105" s="86">
        <f>IF(OR(V$19=0,V$21=0,B105=0),0,2*(V$19-I105)-(V$19-I105)*((1+N105/(U$20*100))^(U$20*(SUM(J105:J$200)-T105)/Q$2)))</f>
        <v>0</v>
      </c>
      <c r="W105" s="86">
        <f>IF(B103=M$18,S$19,IF(B105=0,0,IF(A$10=1,IF(F106="z",SUM(U$23:U105)-SUM(W$23:W104),0),U105)))</f>
        <v>0</v>
      </c>
    </row>
  </sheetData>
  <phoneticPr fontId="0" type="noConversion"/>
  <printOptions gridLinesSet="0"/>
  <pageMargins left="0.3" right="0.19" top="0.27559055118110237" bottom="0.43307086614173229" header="0.23622047244094491" footer="0.23622047244094491"/>
  <pageSetup paperSize="9" orientation="portrait" blackAndWhite="1" horizontalDpi="300" verticalDpi="300" r:id="rId1"/>
  <headerFooter alignWithMargins="0">
    <oddFooter xml:space="preserve">&amp;L&amp;8&amp;D&amp;R&amp;8WFZINSST.XLS; &amp;A  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25"/>
  <sheetViews>
    <sheetView showGridLines="0" tabSelected="1" showOutlineSymbols="0" zoomScale="130" workbookViewId="0"/>
  </sheetViews>
  <sheetFormatPr baseColWidth="10" defaultColWidth="11" defaultRowHeight="12.6" outlineLevelCol="1" x14ac:dyDescent="0.25"/>
  <cols>
    <col min="1" max="1" width="5.8984375" style="93" customWidth="1"/>
    <col min="2" max="2" width="14.59765625" style="93" customWidth="1"/>
    <col min="3" max="3" width="10" style="93" customWidth="1"/>
    <col min="4" max="4" width="33.09765625" style="93" customWidth="1"/>
    <col min="5" max="5" width="15.69921875" style="93" hidden="1" customWidth="1" outlineLevel="1"/>
    <col min="6" max="6" width="11" style="93" collapsed="1"/>
    <col min="7" max="7" width="11.8984375" style="93" bestFit="1" customWidth="1"/>
    <col min="8" max="16384" width="11" style="93"/>
  </cols>
  <sheetData>
    <row r="1" spans="1:24" ht="13.8" x14ac:dyDescent="0.25">
      <c r="A1" s="101">
        <v>0</v>
      </c>
      <c r="B1" s="92"/>
      <c r="C1" s="91"/>
      <c r="D1" s="91"/>
      <c r="E1" s="92"/>
      <c r="G1" s="119">
        <v>10000</v>
      </c>
      <c r="H1" t="s">
        <v>102</v>
      </c>
      <c r="S1" s="94"/>
      <c r="X1" s="129"/>
    </row>
    <row r="2" spans="1:24" ht="17.399999999999999" x14ac:dyDescent="0.3">
      <c r="A2" s="101">
        <v>0</v>
      </c>
      <c r="B2" s="95" t="str">
        <f>IF(A1&gt;0,"BARWERT","KAPITALANLAGE ")</f>
        <v xml:space="preserve">KAPITALANLAGE </v>
      </c>
      <c r="C2" s="96"/>
      <c r="D2" s="97" t="str">
        <f>IF(A1&gt;0,IF(A2=1,"(Einmalbetrag)","(konstante Zahlungen)"),IF(A2=1,"(einmaliger Anlagebetrag)","(Ansparplan)"))</f>
        <v>(Ansparplan)</v>
      </c>
      <c r="E2" s="92"/>
      <c r="G2" s="176">
        <f>G1*EXP(1)^(G4*G3/100)</f>
        <v>20137.527074704765</v>
      </c>
      <c r="H2" t="s">
        <v>105</v>
      </c>
      <c r="X2" s="130"/>
    </row>
    <row r="3" spans="1:24" ht="14.25" customHeight="1" x14ac:dyDescent="0.25">
      <c r="A3" s="91"/>
      <c r="B3" s="98"/>
      <c r="C3" s="91"/>
      <c r="D3" s="91"/>
      <c r="E3" s="92"/>
      <c r="G3">
        <v>10</v>
      </c>
      <c r="H3" t="s">
        <v>104</v>
      </c>
    </row>
    <row r="4" spans="1:24" ht="13.8" x14ac:dyDescent="0.25">
      <c r="A4"/>
      <c r="B4" s="128"/>
      <c r="C4" s="99"/>
      <c r="D4" s="106"/>
      <c r="E4" s="92"/>
      <c r="G4">
        <v>7</v>
      </c>
      <c r="H4" t="s">
        <v>103</v>
      </c>
    </row>
    <row r="5" spans="1:24" ht="13.8" x14ac:dyDescent="0.25">
      <c r="A5" s="91"/>
      <c r="B5" s="128"/>
      <c r="C5" s="99"/>
      <c r="D5" s="106"/>
      <c r="E5" s="92"/>
      <c r="G5"/>
      <c r="H5"/>
    </row>
    <row r="6" spans="1:24" ht="13.8" x14ac:dyDescent="0.25">
      <c r="A6" s="91"/>
      <c r="B6" s="128"/>
      <c r="C6" s="99"/>
      <c r="D6" s="106"/>
      <c r="E6"/>
      <c r="G6" s="177">
        <f>100*LN(G2/G1)/(G3*LN(EXP(1)))</f>
        <v>7</v>
      </c>
      <c r="H6" t="s">
        <v>106</v>
      </c>
    </row>
    <row r="7" spans="1:24" ht="13.8" x14ac:dyDescent="0.25">
      <c r="A7" s="91"/>
      <c r="B7" s="91"/>
      <c r="C7" s="100"/>
      <c r="D7" s="100"/>
      <c r="E7" s="100">
        <f>IF(B10="e",10000000,B10)</f>
        <v>12</v>
      </c>
      <c r="H7" s="178" t="s">
        <v>107</v>
      </c>
    </row>
    <row r="8" spans="1:24" ht="13.8" x14ac:dyDescent="0.25">
      <c r="A8"/>
      <c r="B8"/>
      <c r="C8" s="102"/>
      <c r="D8" s="92"/>
      <c r="E8" s="100">
        <f>IF(A12=1,B11*100/(100-B11),B11)</f>
        <v>4</v>
      </c>
    </row>
    <row r="9" spans="1:24" ht="13.95" customHeight="1" x14ac:dyDescent="0.25">
      <c r="A9" s="103">
        <v>1</v>
      </c>
      <c r="B9" s="99">
        <v>26</v>
      </c>
      <c r="C9" s="100" t="str">
        <f>IF(A9=2,"  Halbjahr",IF(A9=4,"  Quartal",IF(A9=12,"  Monat",IF(A9=360,"  Tag","  Jahr"))))&amp;IF(B9&lt;&gt;1,"e","")&amp;IF(A1&gt;0,""," Kapitalanlage")&amp;IF(AND(A9&lt;&gt;1,E9&gt;1),"  ("&amp;ROUND(E9,3)&amp;" Jahre)","")</f>
        <v xml:space="preserve">  Jahre Kapitalanlage</v>
      </c>
      <c r="D9" s="91"/>
      <c r="E9" s="100">
        <f>B9/A9</f>
        <v>26</v>
      </c>
    </row>
    <row r="10" spans="1:24" ht="13.95" customHeight="1" x14ac:dyDescent="0.25">
      <c r="A10" s="103">
        <v>1</v>
      </c>
      <c r="B10" s="101">
        <v>12</v>
      </c>
      <c r="C10" s="104" t="str">
        <f>"  "&amp;IF(B10="e","stetige Verzinsung",IF(E7=0,IF(A1&gt;0,"Abzinsung"&amp;IF(A2=1," über die Laufzeit",""),"Verzinsung ohne Zinseszins"),E10&amp;IF(A2=1,"","Zahlung"&amp;IF(E21=1," / "," und "))&amp;IF(A1&gt;0,"Abzinsung",E22&amp;"Verzinsung")))</f>
        <v xml:space="preserve">  monatliche Zahlung / jährliche Verzinsung</v>
      </c>
      <c r="D10"/>
      <c r="E10" s="105" t="str">
        <f>IF(E7=1,"jährliche ",IF(E7=2,"halbjährliche ",IF(E7=4,"vierteljährliche ",IF(E7=12,"monatliche ",E7&amp;" * "))))</f>
        <v xml:space="preserve">monatliche </v>
      </c>
      <c r="F10" s="122" t="str">
        <f>IF(A10=0,"",IF(AND(MOD(E9*12,12/A10)&gt;0,E21=1),"Die letzte Verzinsungs-",""))</f>
        <v/>
      </c>
    </row>
    <row r="11" spans="1:24" ht="13.95" customHeight="1" x14ac:dyDescent="0.25">
      <c r="A11"/>
      <c r="B11" s="99">
        <v>4</v>
      </c>
      <c r="C11" s="100" t="str">
        <f>IF(A1&gt;0,"  % Abzinsungssatz p.a.","  % Zins p.a."&amp;IF(A12=1," - Ersatzzinsfuß: "&amp;TEXT(E8,"0,000")&amp;" %",""))</f>
        <v xml:space="preserve">  % Zins p.a.</v>
      </c>
      <c r="D11" s="92"/>
      <c r="E11" s="100">
        <f>IF(AND(A2=1,E7=0),1/E9,E7)</f>
        <v>12</v>
      </c>
      <c r="F11" s="122" t="str">
        <f>IF(F10&lt;&gt;"","periode ist gebrochen !","")</f>
        <v/>
      </c>
    </row>
    <row r="12" spans="1:24" ht="13.95" customHeight="1" x14ac:dyDescent="0.25">
      <c r="A12" s="103"/>
      <c r="B12" s="106">
        <v>1400</v>
      </c>
      <c r="C12" s="100" t="str">
        <f>IF(AND(A2=1,A1&gt;0),"  Einmalbetrag",IF(A2=1,"  Anlagebetrag","  Zahlung pro "&amp;IF(E7=0,E15,E14))&amp;IF(OR(A1&gt;0,E7=0),"",IF(A12=1,"  (vorschüssige Verzinsung)","")))</f>
        <v xml:space="preserve">  Zahlung pro Monat</v>
      </c>
      <c r="D12" s="91"/>
      <c r="E12">
        <f>IF(E11=0,A9,E11)</f>
        <v>12</v>
      </c>
      <c r="F12" s="138" t="str">
        <f>IF(AND(A1=0,A12&lt;&gt;0),"Normal ist nachschüssig !","")</f>
        <v/>
      </c>
    </row>
    <row r="13" spans="1:24" ht="13.95" customHeight="1" x14ac:dyDescent="0.25">
      <c r="A13"/>
      <c r="B13" s="107"/>
      <c r="C13" s="114" t="str">
        <f>IF(AND(B13&gt;0,OR(A1&gt;0,A2=1,E7=0)),1,IF(OR(A1&gt;0,A2=1,E7=0,B13=0),"","  % Zahlungssteigerung pro "&amp;IF(E11=12,"Monat",IF(E11=4,"Quartal",IF(E11=1,"Jahr","Periode")))))</f>
        <v/>
      </c>
      <c r="D13" s="91"/>
      <c r="E13" s="100">
        <f>IF(E8=0,0.00000001,IF(E8=B13,E8+0.000000000001,E8))</f>
        <v>4</v>
      </c>
    </row>
    <row r="14" spans="1:24" ht="13.95" customHeight="1" x14ac:dyDescent="0.25">
      <c r="A14" s="92"/>
      <c r="B14" s="109" t="str">
        <f>IF(AND(B13&gt;0,A10&gt;0),"Zelle A10 nicht bei Progression",IF(AND(E7=0,B13&gt;0),C10&amp;" nicht bei Progression",""))</f>
        <v/>
      </c>
      <c r="C14" s="92"/>
      <c r="D14" s="92"/>
      <c r="E14" s="108" t="str">
        <f>IF(E11=12,"Monat",IF(E11=4,"Quartal",IF(E11=1,"Jahr",IF(E11=2,"Halbjahr","Periode"))))</f>
        <v>Monat</v>
      </c>
    </row>
    <row r="15" spans="1:24" ht="13.95" customHeight="1" x14ac:dyDescent="0.25">
      <c r="A15" s="110"/>
      <c r="B15"/>
      <c r="C15" s="92"/>
      <c r="D15" s="92"/>
      <c r="E15" s="108" t="str">
        <f>IF(A9=12,"Monat",IF(A9=4,"Quartal",IF(A9=1,"Jahr",IF(A9=2,"Halbjahr","Periode"))))</f>
        <v>Jahr</v>
      </c>
    </row>
    <row r="16" spans="1:24" ht="13.95" customHeight="1" x14ac:dyDescent="0.25">
      <c r="A16" s="92"/>
      <c r="B16" s="111">
        <f>IF(A1&gt;0,E16,IF(E21=1,E18,E17))</f>
        <v>760566.78463490261</v>
      </c>
      <c r="C16" s="112" t="str">
        <f>IF(B4="codewf","     W a l t e r   F R I C K E,   M o n h e i m   (W F)", IF(A1&gt;0,"  Barwert","  Endkapital ")&amp;IF(AND(A1=2,E7&gt;0),"   (vorschüssig)",""))</f>
        <v xml:space="preserve">  Endkapital </v>
      </c>
      <c r="D16" s="92"/>
      <c r="E16" s="127">
        <f>B12*IF(AND(A1=2,E7&gt;0),1+E8/E7/100,1)*IF(A2=1,(1/(1+E8/(E11*100)))^(E9*E11),E12*(1-(E12/(E12+(E8/100)))^(E9*E12))/(E8/100))</f>
        <v>271292.06680742896</v>
      </c>
    </row>
    <row r="17" spans="1:7" ht="18.600000000000001" customHeight="1" x14ac:dyDescent="0.25">
      <c r="A17" s="92"/>
      <c r="B17" s="111">
        <f>IF(AND(A1&gt;0,A2=1),"",   IF(A2=1,B16-B12,   IF(B13=0,E9*E12*B12,   B12*((1+0.00000001/(100*E11))^(E9*E11+1)-((1+0.00000001/(100*E11))*(1+B13/100)^(E9*E11)))/(0.00000001/(100*E11)-B13/100))))</f>
        <v>436800</v>
      </c>
      <c r="C17" s="164" t="str">
        <f>IF(B4="code24","   24.02.1949 in Bremerhaven", IF(B17="","",IF(A2=1,"  Zinsen","  Zahlungen")))</f>
        <v xml:space="preserve">  Zahlungen</v>
      </c>
      <c r="D17" s="92"/>
      <c r="E17" s="127">
        <f>IF(A2=1,B12*((1+E8/(100*E11))^(E9*E11)),   IF(AND(B13=0,E8=0),E9*E11*B12,    IF(E7=0,B12*B9+B9*(B9+1)*B12*E8/A9/200,    B12*((1+E13/(100*E11))^(E9*E11+1)-((1+E13/(100*E11))*(1+B13/100)^(E9*E11)))/(E13/(100*E11)-B13/100))))</f>
        <v>768771.87718436751</v>
      </c>
    </row>
    <row r="18" spans="1:7" ht="13.95" customHeight="1" x14ac:dyDescent="0.25">
      <c r="A18" s="92"/>
      <c r="B18" s="113">
        <f>IF(OR(A1&gt;0,A2=1),"",B16-B17)</f>
        <v>323766.78463490261</v>
      </c>
      <c r="C18" s="100" t="str">
        <f>IF(OR(A2=1,A1&gt;0),"","  Zinsen")</f>
        <v xml:space="preserve">  Zinsen</v>
      </c>
      <c r="D18" s="92"/>
      <c r="E18" s="123">
        <f>E20+E20*(E19^(E9*A10)-E19)/(E19-1)</f>
        <v>760566.78463490261</v>
      </c>
    </row>
    <row r="19" spans="1:7" ht="13.8" x14ac:dyDescent="0.25">
      <c r="A19" s="92"/>
      <c r="B19" s="92"/>
      <c r="C19" s="92"/>
      <c r="D19" s="92"/>
      <c r="E19" s="125">
        <f>1+E8/A10/100</f>
        <v>1.04</v>
      </c>
    </row>
    <row r="20" spans="1:7" ht="13.8" x14ac:dyDescent="0.25">
      <c r="A20" s="92"/>
      <c r="B20" s="111"/>
      <c r="C20" s="92"/>
      <c r="D20" s="92"/>
      <c r="E20" s="124">
        <f>E7/A10*B12+(E8/A10)*B12*(E7/A10+1)/200</f>
        <v>17164</v>
      </c>
    </row>
    <row r="21" spans="1:7" ht="13.8" x14ac:dyDescent="0.25">
      <c r="B21"/>
      <c r="E21" s="125">
        <f>IF(AND(A1=0,A2=0,E8&gt;0,B13=0,A10&gt;0,A10&lt;E7),1,0)</f>
        <v>1</v>
      </c>
      <c r="G21"/>
    </row>
    <row r="22" spans="1:7" ht="13.8" x14ac:dyDescent="0.25">
      <c r="E22" s="126" t="str">
        <f>IF(E21=1,IF(A10=1,"jährliche ",IF(A10=2,"halbjährliche ",IF(A10=4,"vierteljährliche ",IF(A10=12,"monatliche ",A10&amp;" * ")))),"")</f>
        <v xml:space="preserve">jährliche </v>
      </c>
      <c r="G22"/>
    </row>
    <row r="23" spans="1:7" ht="13.8" x14ac:dyDescent="0.25">
      <c r="G23"/>
    </row>
    <row r="24" spans="1:7" ht="13.8" x14ac:dyDescent="0.25">
      <c r="B24" s="100"/>
      <c r="G24"/>
    </row>
    <row r="25" spans="1:7" ht="13.8" x14ac:dyDescent="0.25">
      <c r="G25" s="119"/>
    </row>
  </sheetData>
  <phoneticPr fontId="0" type="noConversion"/>
  <printOptions gridLinesSet="0"/>
  <pageMargins left="0.78740157499999996" right="0.78740157499999996" top="0.984251969" bottom="0.984251969" header="0.51181102300000003" footer="0.51181102300000003"/>
  <pageSetup paperSize="9" orientation="portrait" blackAndWhite="1" horizontalDpi="300" verticalDpi="300" r:id="rId1"/>
  <headerFooter alignWithMargins="0">
    <oddFooter>&amp;L&amp;"Arial,Standard"&amp;8&amp;D&amp;R&amp;"Arial,Standard"&amp;8WFZINSST.XLS; &amp;A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info</vt:lpstr>
      <vt:lpstr>Zinsstaffel</vt:lpstr>
      <vt:lpstr>Kapitalanlage</vt:lpstr>
      <vt:lpstr>info!Druckbereich</vt:lpstr>
      <vt:lpstr>Kapitalanlage!Druckbereich</vt:lpstr>
      <vt:lpstr>Zinsstaffel!Drucktitel</vt:lpstr>
    </vt:vector>
  </TitlesOfParts>
  <Company>WF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FRICKE, Derendorf (WF)</dc:creator>
  <cp:lastModifiedBy>WF</cp:lastModifiedBy>
  <cp:lastPrinted>2007-08-09T08:44:42Z</cp:lastPrinted>
  <dcterms:created xsi:type="dcterms:W3CDTF">1997-12-30T14:42:24Z</dcterms:created>
  <dcterms:modified xsi:type="dcterms:W3CDTF">2017-05-22T16:40:00Z</dcterms:modified>
</cp:coreProperties>
</file>