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lter\Documents\Excel\wfprogr\"/>
    </mc:Choice>
  </mc:AlternateContent>
  <bookViews>
    <workbookView xWindow="480" yWindow="456" windowWidth="9720" windowHeight="7320" activeTab="1"/>
  </bookViews>
  <sheets>
    <sheet name="info" sheetId="1" r:id="rId1"/>
    <sheet name="Tilgungsplan" sheetId="2" r:id="rId2"/>
    <sheet name="p.a." sheetId="3" r:id="rId3"/>
  </sheets>
  <definedNames>
    <definedName name="_xlnm.Print_Area" localSheetId="0">info!$B$1:$H$45</definedName>
    <definedName name="_xlnm.Print_Area" localSheetId="2">p.a.!$A$2:$F$49</definedName>
    <definedName name="_xlnm.Print_Area" localSheetId="1">INDIRECT(Tilgungsplan!$I$9)</definedName>
    <definedName name="_xlnm.Print_Titles" localSheetId="2">p.a.!$19:$20</definedName>
    <definedName name="_xlnm.Print_Titles" localSheetId="1">Tilgungsplan!$19:$20</definedName>
  </definedNames>
  <calcPr calcId="152511" fullCalcOnLoad="1" iterateCount="1000" iterateDelta="9.9999999999999995E-8"/>
</workbook>
</file>

<file path=xl/calcChain.xml><?xml version="1.0" encoding="utf-8"?>
<calcChain xmlns="http://schemas.openxmlformats.org/spreadsheetml/2006/main">
  <c r="K11" i="2" l="1"/>
  <c r="A4" i="3"/>
  <c r="A6" i="3"/>
  <c r="C15" i="3"/>
  <c r="G15" i="3"/>
  <c r="G14" i="3"/>
  <c r="G13" i="3" s="1"/>
  <c r="G12" i="3" s="1"/>
  <c r="C10" i="3"/>
  <c r="B19" i="3"/>
  <c r="E19" i="3"/>
  <c r="D19" i="3"/>
  <c r="C19" i="3"/>
  <c r="C12" i="3"/>
  <c r="A5" i="3"/>
  <c r="C16" i="3"/>
  <c r="C14" i="3"/>
  <c r="C9" i="3"/>
  <c r="C11" i="3"/>
  <c r="A7" i="3"/>
  <c r="B20" i="3"/>
  <c r="A2" i="2"/>
  <c r="G9" i="3"/>
  <c r="I8" i="2"/>
  <c r="A1" i="2"/>
  <c r="A4" i="2"/>
  <c r="A3" i="2"/>
  <c r="C17" i="3"/>
  <c r="G19" i="2"/>
  <c r="F19" i="3"/>
  <c r="E9" i="2"/>
  <c r="D9" i="3"/>
  <c r="G21" i="2"/>
  <c r="F21" i="3"/>
  <c r="F20" i="2"/>
  <c r="E20" i="3"/>
  <c r="E13" i="2"/>
  <c r="D13" i="3"/>
  <c r="E12" i="2"/>
  <c r="D12" i="3"/>
  <c r="H8" i="2"/>
  <c r="A15" i="2"/>
  <c r="E16" i="2"/>
  <c r="D16" i="3"/>
  <c r="A10" i="2"/>
  <c r="A16" i="2"/>
  <c r="D19" i="2" s="1"/>
  <c r="E11" i="2"/>
  <c r="D11" i="3" s="1"/>
  <c r="I3" i="2"/>
  <c r="I4" i="2" s="1"/>
  <c r="A12" i="2"/>
  <c r="A14" i="2"/>
  <c r="A8" i="2"/>
  <c r="A13" i="2"/>
  <c r="E14" i="2" s="1"/>
  <c r="I18" i="2"/>
  <c r="J17" i="2"/>
  <c r="J18" i="2"/>
  <c r="J16" i="2"/>
  <c r="A6" i="2"/>
  <c r="A7" i="2"/>
  <c r="A18" i="2"/>
  <c r="E10" i="2"/>
  <c r="D10" i="3" s="1"/>
  <c r="F19" i="2"/>
  <c r="K21" i="2"/>
  <c r="E19" i="2"/>
  <c r="I20" i="2"/>
  <c r="A9" i="2"/>
  <c r="B16" i="2"/>
  <c r="G3" i="3"/>
  <c r="A5" i="2"/>
  <c r="C23" i="2" s="1"/>
  <c r="C24" i="2" s="1"/>
  <c r="D14" i="3"/>
  <c r="G4" i="3"/>
  <c r="H9" i="2"/>
  <c r="C25" i="2"/>
  <c r="C26" i="2"/>
  <c r="C27" i="2" s="1"/>
  <c r="C28" i="2"/>
  <c r="C29" i="2" s="1"/>
  <c r="C30" i="2" s="1"/>
  <c r="C31" i="2" s="1"/>
  <c r="C32" i="2" s="1"/>
  <c r="C33" i="2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l="1"/>
  <c r="C54" i="2" s="1"/>
  <c r="C55" i="2" s="1"/>
  <c r="C56" i="2" s="1"/>
  <c r="C57" i="2" s="1"/>
  <c r="C58" i="2" s="1"/>
  <c r="C59" i="2" s="1"/>
  <c r="C60" i="2" s="1"/>
  <c r="C61" i="2" s="1"/>
  <c r="C62" i="2" s="1"/>
  <c r="H52" i="2"/>
  <c r="I5" i="2"/>
  <c r="E15" i="2" s="1"/>
  <c r="D15" i="3" s="1"/>
  <c r="H32" i="2"/>
  <c r="H60" i="2"/>
  <c r="H46" i="2"/>
  <c r="H11" i="2"/>
  <c r="H12" i="2" s="1"/>
  <c r="H10" i="2"/>
  <c r="H16" i="2" s="1"/>
  <c r="H25" i="2"/>
  <c r="H27" i="2"/>
  <c r="H29" i="2"/>
  <c r="H31" i="2"/>
  <c r="H33" i="2"/>
  <c r="H35" i="2"/>
  <c r="H37" i="2"/>
  <c r="H39" i="2"/>
  <c r="H41" i="2"/>
  <c r="H43" i="2"/>
  <c r="H45" i="2"/>
  <c r="H47" i="2"/>
  <c r="H49" i="2"/>
  <c r="H51" i="2"/>
  <c r="H57" i="2"/>
  <c r="H59" i="2"/>
  <c r="H44" i="2"/>
  <c r="H48" i="2"/>
  <c r="H24" i="2"/>
  <c r="H30" i="2"/>
  <c r="H38" i="2"/>
  <c r="H50" i="2"/>
  <c r="H58" i="2"/>
  <c r="H22" i="2"/>
  <c r="H28" i="2"/>
  <c r="H36" i="2"/>
  <c r="H23" i="2"/>
  <c r="H26" i="2"/>
  <c r="H34" i="2"/>
  <c r="H42" i="2"/>
  <c r="H54" i="2"/>
  <c r="H40" i="2"/>
  <c r="A45" i="2"/>
  <c r="A34" i="2"/>
  <c r="B34" i="2" s="1"/>
  <c r="A40" i="2"/>
  <c r="A47" i="2"/>
  <c r="B47" i="2" s="1"/>
  <c r="A48" i="2"/>
  <c r="B48" i="2" s="1"/>
  <c r="A25" i="2"/>
  <c r="B25" i="2" s="1"/>
  <c r="A51" i="2"/>
  <c r="B51" i="2" s="1"/>
  <c r="G10" i="3"/>
  <c r="G11" i="3"/>
  <c r="B46" i="2"/>
  <c r="G8" i="3"/>
  <c r="B2" i="2"/>
  <c r="A2" i="3" s="1"/>
  <c r="B40" i="2"/>
  <c r="B45" i="2"/>
  <c r="K14" i="2"/>
  <c r="B19" i="2"/>
  <c r="B3" i="2"/>
  <c r="A3" i="3" s="1"/>
  <c r="B39" i="2"/>
  <c r="J20" i="2"/>
  <c r="J15" i="2"/>
  <c r="A23" i="2"/>
  <c r="B23" i="2" s="1"/>
  <c r="A35" i="2"/>
  <c r="B35" i="2" s="1"/>
  <c r="A38" i="2"/>
  <c r="B38" i="2" s="1"/>
  <c r="A49" i="2"/>
  <c r="B49" i="2" s="1"/>
  <c r="A26" i="2"/>
  <c r="B26" i="2" s="1"/>
  <c r="A50" i="2"/>
  <c r="B50" i="2" s="1"/>
  <c r="A53" i="2"/>
  <c r="B53" i="2" s="1"/>
  <c r="A61" i="2"/>
  <c r="B61" i="2" s="1"/>
  <c r="A22" i="2"/>
  <c r="B22" i="2" s="1"/>
  <c r="A41" i="2"/>
  <c r="B41" i="2" s="1"/>
  <c r="A58" i="2"/>
  <c r="B58" i="2" s="1"/>
  <c r="A24" i="2"/>
  <c r="B24" i="2" s="1"/>
  <c r="A27" i="2"/>
  <c r="B27" i="2" s="1"/>
  <c r="A28" i="2"/>
  <c r="B28" i="2" s="1"/>
  <c r="A30" i="2"/>
  <c r="B30" i="2" s="1"/>
  <c r="A32" i="2"/>
  <c r="B32" i="2" s="1"/>
  <c r="A33" i="2"/>
  <c r="B33" i="2" s="1"/>
  <c r="A37" i="2"/>
  <c r="B37" i="2" s="1"/>
  <c r="A39" i="2"/>
  <c r="A42" i="2"/>
  <c r="B42" i="2" s="1"/>
  <c r="A55" i="2"/>
  <c r="B55" i="2" s="1"/>
  <c r="A29" i="2"/>
  <c r="B29" i="2" s="1"/>
  <c r="A31" i="2"/>
  <c r="B31" i="2" s="1"/>
  <c r="A36" i="2"/>
  <c r="B36" i="2" s="1"/>
  <c r="A43" i="2"/>
  <c r="B43" i="2" s="1"/>
  <c r="A44" i="2"/>
  <c r="B44" i="2" s="1"/>
  <c r="A46" i="2"/>
  <c r="A52" i="2"/>
  <c r="B52" i="2" s="1"/>
  <c r="A57" i="2"/>
  <c r="B57" i="2" s="1"/>
  <c r="H62" i="2" l="1"/>
  <c r="C63" i="2"/>
  <c r="A59" i="2"/>
  <c r="B59" i="2" s="1"/>
  <c r="A62" i="2"/>
  <c r="B62" i="2" s="1"/>
  <c r="H56" i="2"/>
  <c r="H55" i="2"/>
  <c r="A60" i="2"/>
  <c r="B60" i="2" s="1"/>
  <c r="A56" i="2"/>
  <c r="B56" i="2" s="1"/>
  <c r="A54" i="2"/>
  <c r="B54" i="2" s="1"/>
  <c r="H61" i="2"/>
  <c r="H53" i="2"/>
  <c r="H19" i="2"/>
  <c r="J14" i="2"/>
  <c r="J11" i="2"/>
  <c r="G7" i="3"/>
  <c r="A22" i="3" s="1"/>
  <c r="C64" i="2" l="1"/>
  <c r="A63" i="2"/>
  <c r="B63" i="2" s="1"/>
  <c r="H63" i="2"/>
  <c r="H7" i="2"/>
  <c r="H14" i="2"/>
  <c r="L17" i="2"/>
  <c r="G6" i="3"/>
  <c r="A20" i="3"/>
  <c r="A19" i="3"/>
  <c r="J12" i="2"/>
  <c r="E17" i="2" s="1"/>
  <c r="D17" i="3" s="1"/>
  <c r="C65" i="2" l="1"/>
  <c r="A64" i="2"/>
  <c r="B64" i="2" s="1"/>
  <c r="H64" i="2"/>
  <c r="G5" i="3"/>
  <c r="I17" i="2"/>
  <c r="I14" i="2"/>
  <c r="I16" i="2" s="1"/>
  <c r="B18" i="2"/>
  <c r="A17" i="2"/>
  <c r="J22" i="2"/>
  <c r="J23" i="2"/>
  <c r="I23" i="2"/>
  <c r="J31" i="2"/>
  <c r="J33" i="2"/>
  <c r="I39" i="2"/>
  <c r="I46" i="2"/>
  <c r="I47" i="2"/>
  <c r="I48" i="2"/>
  <c r="J52" i="2"/>
  <c r="J53" i="2"/>
  <c r="I54" i="2"/>
  <c r="I57" i="2"/>
  <c r="J58" i="2"/>
  <c r="I62" i="2"/>
  <c r="J64" i="2"/>
  <c r="J19" i="2"/>
  <c r="J27" i="2"/>
  <c r="J28" i="2"/>
  <c r="J29" i="2"/>
  <c r="J30" i="2"/>
  <c r="J32" i="2"/>
  <c r="J34" i="2"/>
  <c r="J40" i="2"/>
  <c r="J43" i="2"/>
  <c r="I44" i="2"/>
  <c r="J47" i="2"/>
  <c r="J51" i="2"/>
  <c r="I53" i="2"/>
  <c r="E53" i="2" s="1"/>
  <c r="I55" i="2"/>
  <c r="I56" i="2"/>
  <c r="J59" i="2"/>
  <c r="J60" i="2"/>
  <c r="I61" i="2"/>
  <c r="I64" i="2"/>
  <c r="I22" i="2"/>
  <c r="J24" i="2"/>
  <c r="J25" i="2"/>
  <c r="I31" i="2"/>
  <c r="I33" i="2"/>
  <c r="I34" i="2"/>
  <c r="I36" i="2"/>
  <c r="E36" i="2" s="1"/>
  <c r="I37" i="2"/>
  <c r="I38" i="2"/>
  <c r="I40" i="2"/>
  <c r="E40" i="2" s="1"/>
  <c r="I41" i="2"/>
  <c r="J44" i="2"/>
  <c r="I45" i="2"/>
  <c r="J48" i="2"/>
  <c r="J54" i="2"/>
  <c r="J57" i="2"/>
  <c r="H2" i="2"/>
  <c r="I24" i="2"/>
  <c r="E24" i="2" s="1"/>
  <c r="I27" i="2"/>
  <c r="I28" i="2"/>
  <c r="J36" i="2"/>
  <c r="J37" i="2"/>
  <c r="J42" i="2"/>
  <c r="I43" i="2"/>
  <c r="I49" i="2"/>
  <c r="J50" i="2"/>
  <c r="J55" i="2"/>
  <c r="J56" i="2"/>
  <c r="I59" i="2"/>
  <c r="E59" i="2" s="1"/>
  <c r="J63" i="2"/>
  <c r="D22" i="2"/>
  <c r="I26" i="2"/>
  <c r="I29" i="2"/>
  <c r="E29" i="2" s="1"/>
  <c r="I30" i="2"/>
  <c r="J38" i="2"/>
  <c r="J45" i="2"/>
  <c r="J46" i="2"/>
  <c r="I52" i="2"/>
  <c r="J61" i="2"/>
  <c r="I63" i="2"/>
  <c r="I35" i="2"/>
  <c r="J41" i="2"/>
  <c r="I51" i="2"/>
  <c r="I25" i="2"/>
  <c r="J35" i="2"/>
  <c r="J39" i="2"/>
  <c r="I42" i="2"/>
  <c r="I58" i="2"/>
  <c r="I60" i="2"/>
  <c r="J26" i="2"/>
  <c r="I50" i="2"/>
  <c r="E50" i="2" s="1"/>
  <c r="J62" i="2"/>
  <c r="I32" i="2"/>
  <c r="J49" i="2"/>
  <c r="B17" i="2"/>
  <c r="E61" i="2" l="1"/>
  <c r="E48" i="2"/>
  <c r="E35" i="2"/>
  <c r="E58" i="2"/>
  <c r="C66" i="2"/>
  <c r="B65" i="2"/>
  <c r="H65" i="2"/>
  <c r="A65" i="2"/>
  <c r="I65" i="2"/>
  <c r="J65" i="2"/>
  <c r="E55" i="2"/>
  <c r="E44" i="2"/>
  <c r="E30" i="2"/>
  <c r="E43" i="2"/>
  <c r="E33" i="2"/>
  <c r="E23" i="2"/>
  <c r="E41" i="2"/>
  <c r="E63" i="2"/>
  <c r="E26" i="2"/>
  <c r="E54" i="2"/>
  <c r="E22" i="2"/>
  <c r="E25" i="2"/>
  <c r="E51" i="2"/>
  <c r="E42" i="2"/>
  <c r="E27" i="2"/>
  <c r="E37" i="2"/>
  <c r="E31" i="2"/>
  <c r="E64" i="2"/>
  <c r="E56" i="2"/>
  <c r="E47" i="2"/>
  <c r="E52" i="2"/>
  <c r="E39" i="2"/>
  <c r="G22" i="2"/>
  <c r="E57" i="2"/>
  <c r="F22" i="2"/>
  <c r="E49" i="2"/>
  <c r="H3" i="2"/>
  <c r="G8" i="2"/>
  <c r="E34" i="2"/>
  <c r="E32" i="2"/>
  <c r="E60" i="2"/>
  <c r="E28" i="2"/>
  <c r="E45" i="2"/>
  <c r="E38" i="2"/>
  <c r="E62" i="2"/>
  <c r="E46" i="2"/>
  <c r="B23" i="3"/>
  <c r="E65" i="2" l="1"/>
  <c r="C67" i="2"/>
  <c r="H66" i="2"/>
  <c r="A66" i="2"/>
  <c r="B66" i="2" s="1"/>
  <c r="I66" i="2"/>
  <c r="J66" i="2"/>
  <c r="D22" i="3"/>
  <c r="F22" i="3" s="1"/>
  <c r="B24" i="3"/>
  <c r="A23" i="3"/>
  <c r="H4" i="2"/>
  <c r="H17" i="2" s="1"/>
  <c r="H5" i="2"/>
  <c r="H6" i="2" s="1"/>
  <c r="D23" i="2"/>
  <c r="F23" i="2" s="1"/>
  <c r="C1" i="2" s="1"/>
  <c r="G23" i="2"/>
  <c r="E66" i="2" l="1"/>
  <c r="C68" i="2"/>
  <c r="A67" i="2"/>
  <c r="B67" i="2" s="1"/>
  <c r="H67" i="2"/>
  <c r="I67" i="2"/>
  <c r="J67" i="2"/>
  <c r="B25" i="3"/>
  <c r="D24" i="3" s="1"/>
  <c r="A24" i="3"/>
  <c r="D23" i="3"/>
  <c r="F23" i="3" s="1"/>
  <c r="D24" i="2"/>
  <c r="F24" i="2" s="1"/>
  <c r="G24" i="2"/>
  <c r="E67" i="2" l="1"/>
  <c r="C69" i="2"/>
  <c r="H68" i="2"/>
  <c r="A68" i="2"/>
  <c r="B68" i="2" s="1"/>
  <c r="J68" i="2"/>
  <c r="I68" i="2"/>
  <c r="E68" i="2" s="1"/>
  <c r="G25" i="2"/>
  <c r="D25" i="2"/>
  <c r="F25" i="2" s="1"/>
  <c r="F24" i="3"/>
  <c r="A25" i="3"/>
  <c r="B26" i="3"/>
  <c r="D25" i="3"/>
  <c r="C70" i="2" l="1"/>
  <c r="H69" i="2"/>
  <c r="A69" i="2"/>
  <c r="B69" i="2" s="1"/>
  <c r="I69" i="2"/>
  <c r="J69" i="2"/>
  <c r="F25" i="3"/>
  <c r="A26" i="3"/>
  <c r="B27" i="3"/>
  <c r="G26" i="2"/>
  <c r="D26" i="2"/>
  <c r="F26" i="2" s="1"/>
  <c r="E69" i="2" l="1"/>
  <c r="C71" i="2"/>
  <c r="H70" i="2"/>
  <c r="A70" i="2"/>
  <c r="B70" i="2" s="1"/>
  <c r="J70" i="2"/>
  <c r="I70" i="2"/>
  <c r="G27" i="2"/>
  <c r="D27" i="2"/>
  <c r="F27" i="2" s="1"/>
  <c r="A27" i="3"/>
  <c r="B28" i="3"/>
  <c r="D26" i="3"/>
  <c r="F26" i="3" s="1"/>
  <c r="E70" i="2" l="1"/>
  <c r="C72" i="2"/>
  <c r="H71" i="2"/>
  <c r="A71" i="2"/>
  <c r="B71" i="2" s="1"/>
  <c r="I71" i="2"/>
  <c r="J71" i="2"/>
  <c r="B29" i="3"/>
  <c r="D28" i="3" s="1"/>
  <c r="A28" i="3"/>
  <c r="D27" i="3"/>
  <c r="F27" i="3" s="1"/>
  <c r="D28" i="2"/>
  <c r="F28" i="2" s="1"/>
  <c r="G28" i="2"/>
  <c r="E71" i="2" l="1"/>
  <c r="C73" i="2"/>
  <c r="H72" i="2"/>
  <c r="A72" i="2"/>
  <c r="B72" i="2" s="1"/>
  <c r="I72" i="2"/>
  <c r="J72" i="2"/>
  <c r="F28" i="3"/>
  <c r="D29" i="2"/>
  <c r="F29" i="2" s="1"/>
  <c r="G29" i="2"/>
  <c r="B30" i="3"/>
  <c r="D29" i="3" s="1"/>
  <c r="A29" i="3"/>
  <c r="E72" i="2" l="1"/>
  <c r="C74" i="2"/>
  <c r="H73" i="2"/>
  <c r="A73" i="2"/>
  <c r="B73" i="2" s="1"/>
  <c r="I73" i="2"/>
  <c r="E73" i="2" s="1"/>
  <c r="J73" i="2"/>
  <c r="A30" i="3"/>
  <c r="B31" i="3"/>
  <c r="D30" i="3" s="1"/>
  <c r="G30" i="2"/>
  <c r="D30" i="2"/>
  <c r="F30" i="2" s="1"/>
  <c r="F29" i="3"/>
  <c r="C75" i="2" l="1"/>
  <c r="A74" i="2"/>
  <c r="B74" i="2" s="1"/>
  <c r="H74" i="2"/>
  <c r="I74" i="2"/>
  <c r="J74" i="2"/>
  <c r="E74" i="2"/>
  <c r="F30" i="3"/>
  <c r="A31" i="3"/>
  <c r="B32" i="3"/>
  <c r="D31" i="3" s="1"/>
  <c r="G31" i="2"/>
  <c r="D31" i="2"/>
  <c r="F31" i="2" s="1"/>
  <c r="C76" i="2" l="1"/>
  <c r="H75" i="2"/>
  <c r="A75" i="2"/>
  <c r="B75" i="2" s="1"/>
  <c r="I75" i="2"/>
  <c r="J75" i="2"/>
  <c r="A32" i="3"/>
  <c r="B33" i="3"/>
  <c r="D32" i="3" s="1"/>
  <c r="G32" i="2"/>
  <c r="D32" i="2"/>
  <c r="F31" i="3"/>
  <c r="E75" i="2" l="1"/>
  <c r="C77" i="2"/>
  <c r="H76" i="2"/>
  <c r="B76" i="2"/>
  <c r="A76" i="2"/>
  <c r="J76" i="2"/>
  <c r="I76" i="2"/>
  <c r="F32" i="2"/>
  <c r="D33" i="2"/>
  <c r="F33" i="2" s="1"/>
  <c r="G33" i="2"/>
  <c r="A33" i="3"/>
  <c r="B34" i="3"/>
  <c r="F32" i="3"/>
  <c r="E76" i="2" l="1"/>
  <c r="C78" i="2"/>
  <c r="H77" i="2"/>
  <c r="A77" i="2"/>
  <c r="B77" i="2" s="1"/>
  <c r="I77" i="2"/>
  <c r="J77" i="2"/>
  <c r="C22" i="3"/>
  <c r="E22" i="3" s="1"/>
  <c r="B35" i="3"/>
  <c r="D34" i="3" s="1"/>
  <c r="A34" i="3"/>
  <c r="D33" i="3"/>
  <c r="F33" i="3" s="1"/>
  <c r="G34" i="2"/>
  <c r="D34" i="2"/>
  <c r="F34" i="2" s="1"/>
  <c r="E77" i="2" l="1"/>
  <c r="C79" i="2"/>
  <c r="H78" i="2"/>
  <c r="A78" i="2"/>
  <c r="B78" i="2"/>
  <c r="J78" i="2"/>
  <c r="I78" i="2"/>
  <c r="F34" i="3"/>
  <c r="D35" i="2"/>
  <c r="F35" i="2" s="1"/>
  <c r="G35" i="2"/>
  <c r="B36" i="3"/>
  <c r="A35" i="3"/>
  <c r="D35" i="3"/>
  <c r="F35" i="3" s="1"/>
  <c r="E78" i="2" l="1"/>
  <c r="C80" i="2"/>
  <c r="A79" i="2"/>
  <c r="B79" i="2"/>
  <c r="H79" i="2"/>
  <c r="J79" i="2"/>
  <c r="I79" i="2"/>
  <c r="A36" i="3"/>
  <c r="B37" i="3"/>
  <c r="D36" i="2"/>
  <c r="F36" i="2" s="1"/>
  <c r="G36" i="2"/>
  <c r="E79" i="2" l="1"/>
  <c r="C81" i="2"/>
  <c r="H80" i="2"/>
  <c r="A80" i="2"/>
  <c r="B80" i="2" s="1"/>
  <c r="J80" i="2"/>
  <c r="I80" i="2"/>
  <c r="D37" i="2"/>
  <c r="F37" i="2" s="1"/>
  <c r="G37" i="2"/>
  <c r="B38" i="3"/>
  <c r="A37" i="3"/>
  <c r="E80" i="2" l="1"/>
  <c r="C82" i="2"/>
  <c r="A81" i="2"/>
  <c r="B81" i="2" s="1"/>
  <c r="H81" i="2"/>
  <c r="I81" i="2"/>
  <c r="J81" i="2"/>
  <c r="E81" i="2" s="1"/>
  <c r="A38" i="3"/>
  <c r="B39" i="3"/>
  <c r="D38" i="2"/>
  <c r="F38" i="2" s="1"/>
  <c r="G38" i="2"/>
  <c r="C83" i="2" l="1"/>
  <c r="A82" i="2"/>
  <c r="B82" i="2" s="1"/>
  <c r="H82" i="2"/>
  <c r="J82" i="2"/>
  <c r="I82" i="2"/>
  <c r="E82" i="2"/>
  <c r="D36" i="3"/>
  <c r="F36" i="3" s="1"/>
  <c r="D39" i="2"/>
  <c r="F39" i="2" s="1"/>
  <c r="G39" i="2"/>
  <c r="B40" i="3"/>
  <c r="A39" i="3"/>
  <c r="C84" i="2" l="1"/>
  <c r="A83" i="2"/>
  <c r="B83" i="2" s="1"/>
  <c r="H83" i="2"/>
  <c r="J83" i="2"/>
  <c r="I83" i="2"/>
  <c r="B41" i="3"/>
  <c r="A40" i="3"/>
  <c r="G40" i="2"/>
  <c r="D40" i="2"/>
  <c r="F40" i="2" s="1"/>
  <c r="E83" i="2" l="1"/>
  <c r="C85" i="2"/>
  <c r="H84" i="2"/>
  <c r="A84" i="2"/>
  <c r="B84" i="2" s="1"/>
  <c r="I84" i="2"/>
  <c r="J84" i="2"/>
  <c r="G41" i="2"/>
  <c r="D41" i="2"/>
  <c r="F41" i="2" s="1"/>
  <c r="B42" i="3"/>
  <c r="A41" i="3"/>
  <c r="E84" i="2" l="1"/>
  <c r="C86" i="2"/>
  <c r="H85" i="2"/>
  <c r="A85" i="2"/>
  <c r="B85" i="2" s="1"/>
  <c r="J85" i="2"/>
  <c r="I85" i="2"/>
  <c r="F42" i="3"/>
  <c r="A42" i="3"/>
  <c r="B43" i="3"/>
  <c r="C42" i="3"/>
  <c r="E42" i="3" s="1"/>
  <c r="D42" i="3"/>
  <c r="D42" i="2"/>
  <c r="G42" i="2"/>
  <c r="C87" i="2" l="1"/>
  <c r="A86" i="2"/>
  <c r="B86" i="2" s="1"/>
  <c r="H86" i="2"/>
  <c r="I86" i="2"/>
  <c r="J86" i="2"/>
  <c r="E85" i="2"/>
  <c r="D37" i="3" s="1"/>
  <c r="F37" i="3" s="1"/>
  <c r="F42" i="2"/>
  <c r="F43" i="3"/>
  <c r="A43" i="3"/>
  <c r="B44" i="3"/>
  <c r="G43" i="2"/>
  <c r="D43" i="2"/>
  <c r="F43" i="2" s="1"/>
  <c r="E86" i="2" l="1"/>
  <c r="C88" i="2"/>
  <c r="H87" i="2"/>
  <c r="A87" i="2"/>
  <c r="B87" i="2" s="1"/>
  <c r="I87" i="2"/>
  <c r="J87" i="2"/>
  <c r="G44" i="2"/>
  <c r="D44" i="2"/>
  <c r="A44" i="3"/>
  <c r="B45" i="3"/>
  <c r="F44" i="3"/>
  <c r="D44" i="3"/>
  <c r="C44" i="3"/>
  <c r="E44" i="3" s="1"/>
  <c r="E87" i="2" l="1"/>
  <c r="C89" i="2"/>
  <c r="A88" i="2"/>
  <c r="B88" i="2" s="1"/>
  <c r="H88" i="2"/>
  <c r="J88" i="2"/>
  <c r="I88" i="2"/>
  <c r="E88" i="2" s="1"/>
  <c r="F45" i="3"/>
  <c r="B46" i="3"/>
  <c r="A45" i="3"/>
  <c r="C45" i="3"/>
  <c r="E45" i="3" s="1"/>
  <c r="D45" i="3"/>
  <c r="F44" i="2"/>
  <c r="G45" i="2"/>
  <c r="D45" i="2"/>
  <c r="F45" i="2" s="1"/>
  <c r="C90" i="2" l="1"/>
  <c r="A89" i="2"/>
  <c r="H89" i="2"/>
  <c r="B89" i="2"/>
  <c r="J89" i="2"/>
  <c r="I89" i="2"/>
  <c r="C23" i="3"/>
  <c r="E23" i="3" s="1"/>
  <c r="F46" i="3"/>
  <c r="A46" i="3"/>
  <c r="B47" i="3"/>
  <c r="C46" i="3"/>
  <c r="E46" i="3" s="1"/>
  <c r="D46" i="3"/>
  <c r="D46" i="2"/>
  <c r="F46" i="2" s="1"/>
  <c r="G46" i="2"/>
  <c r="C91" i="2" l="1"/>
  <c r="H90" i="2"/>
  <c r="A90" i="2"/>
  <c r="B90" i="2" s="1"/>
  <c r="J90" i="2"/>
  <c r="I90" i="2"/>
  <c r="E90" i="2"/>
  <c r="E89" i="2"/>
  <c r="D38" i="3" s="1"/>
  <c r="F38" i="3" s="1"/>
  <c r="D47" i="2"/>
  <c r="F47" i="2" s="1"/>
  <c r="G47" i="2"/>
  <c r="B48" i="3"/>
  <c r="A47" i="3"/>
  <c r="F47" i="3"/>
  <c r="C47" i="3"/>
  <c r="E47" i="3" s="1"/>
  <c r="D47" i="3"/>
  <c r="C92" i="2" l="1"/>
  <c r="A91" i="2"/>
  <c r="B91" i="2" s="1"/>
  <c r="H91" i="2"/>
  <c r="J91" i="2"/>
  <c r="I91" i="2"/>
  <c r="E91" i="2" s="1"/>
  <c r="B49" i="3"/>
  <c r="F48" i="3"/>
  <c r="A48" i="3"/>
  <c r="C48" i="3"/>
  <c r="E48" i="3" s="1"/>
  <c r="D48" i="3"/>
  <c r="D48" i="2"/>
  <c r="F48" i="2" s="1"/>
  <c r="G48" i="2"/>
  <c r="C93" i="2" l="1"/>
  <c r="A92" i="2"/>
  <c r="B92" i="2" s="1"/>
  <c r="H92" i="2"/>
  <c r="I92" i="2"/>
  <c r="J92" i="2"/>
  <c r="E92" i="2" s="1"/>
  <c r="D49" i="2"/>
  <c r="F49" i="2" s="1"/>
  <c r="G49" i="2"/>
  <c r="F49" i="3"/>
  <c r="A49" i="3"/>
  <c r="B50" i="3"/>
  <c r="C49" i="3"/>
  <c r="E49" i="3" s="1"/>
  <c r="D49" i="3"/>
  <c r="C94" i="2" l="1"/>
  <c r="H93" i="2"/>
  <c r="A93" i="2"/>
  <c r="B93" i="2" s="1"/>
  <c r="J93" i="2"/>
  <c r="I93" i="2"/>
  <c r="F50" i="3"/>
  <c r="B51" i="3"/>
  <c r="A50" i="3"/>
  <c r="D50" i="3"/>
  <c r="C50" i="3"/>
  <c r="E50" i="3" s="1"/>
  <c r="D50" i="2"/>
  <c r="F50" i="2" s="1"/>
  <c r="G50" i="2"/>
  <c r="E93" i="2" l="1"/>
  <c r="D39" i="3" s="1"/>
  <c r="F39" i="3" s="1"/>
  <c r="C95" i="2"/>
  <c r="H94" i="2"/>
  <c r="A94" i="2"/>
  <c r="B94" i="2" s="1"/>
  <c r="I94" i="2"/>
  <c r="J94" i="2"/>
  <c r="G51" i="2"/>
  <c r="D51" i="2"/>
  <c r="F51" i="2" s="1"/>
  <c r="A51" i="3"/>
  <c r="B52" i="3"/>
  <c r="F51" i="3"/>
  <c r="D51" i="3"/>
  <c r="C51" i="3"/>
  <c r="E51" i="3" s="1"/>
  <c r="E94" i="2" l="1"/>
  <c r="C96" i="2"/>
  <c r="H95" i="2"/>
  <c r="A95" i="2"/>
  <c r="B95" i="2" s="1"/>
  <c r="J95" i="2"/>
  <c r="I95" i="2"/>
  <c r="E95" i="2" s="1"/>
  <c r="B53" i="3"/>
  <c r="A52" i="3"/>
  <c r="F52" i="3"/>
  <c r="D52" i="3"/>
  <c r="C52" i="3"/>
  <c r="E52" i="3" s="1"/>
  <c r="G52" i="2"/>
  <c r="D52" i="2"/>
  <c r="F52" i="2" s="1"/>
  <c r="C97" i="2" l="1"/>
  <c r="B96" i="2"/>
  <c r="H96" i="2"/>
  <c r="A96" i="2"/>
  <c r="J96" i="2"/>
  <c r="I96" i="2"/>
  <c r="E96" i="2" s="1"/>
  <c r="G53" i="2"/>
  <c r="D53" i="2"/>
  <c r="F53" i="2" s="1"/>
  <c r="F53" i="3"/>
  <c r="A53" i="3"/>
  <c r="D53" i="3"/>
  <c r="C53" i="3"/>
  <c r="E53" i="3" s="1"/>
  <c r="C98" i="2" l="1"/>
  <c r="H97" i="2"/>
  <c r="B97" i="2"/>
  <c r="A97" i="2"/>
  <c r="I97" i="2"/>
  <c r="E97" i="2" s="1"/>
  <c r="D40" i="3" s="1"/>
  <c r="F40" i="3" s="1"/>
  <c r="J97" i="2"/>
  <c r="D54" i="2"/>
  <c r="G54" i="2"/>
  <c r="C99" i="2" l="1"/>
  <c r="H98" i="2"/>
  <c r="A98" i="2"/>
  <c r="B98" i="2" s="1"/>
  <c r="I98" i="2"/>
  <c r="J98" i="2"/>
  <c r="D55" i="2"/>
  <c r="F55" i="2" s="1"/>
  <c r="G55" i="2"/>
  <c r="F54" i="2"/>
  <c r="E98" i="2" l="1"/>
  <c r="C100" i="2"/>
  <c r="A99" i="2"/>
  <c r="H99" i="2"/>
  <c r="B99" i="2"/>
  <c r="J99" i="2"/>
  <c r="I99" i="2"/>
  <c r="G56" i="2"/>
  <c r="D56" i="2"/>
  <c r="F56" i="2" s="1"/>
  <c r="C101" i="2" l="1"/>
  <c r="A100" i="2"/>
  <c r="B100" i="2" s="1"/>
  <c r="H100" i="2"/>
  <c r="I100" i="2"/>
  <c r="J100" i="2"/>
  <c r="E100" i="2" s="1"/>
  <c r="E99" i="2"/>
  <c r="D57" i="2"/>
  <c r="G57" i="2"/>
  <c r="C102" i="2" l="1"/>
  <c r="A101" i="2"/>
  <c r="B101" i="2" s="1"/>
  <c r="H101" i="2"/>
  <c r="I101" i="2"/>
  <c r="J101" i="2"/>
  <c r="F57" i="2"/>
  <c r="C24" i="3"/>
  <c r="E24" i="3" s="1"/>
  <c r="G58" i="2"/>
  <c r="D58" i="2"/>
  <c r="F58" i="2" s="1"/>
  <c r="E101" i="2" l="1"/>
  <c r="D41" i="3" s="1"/>
  <c r="F41" i="3" s="1"/>
  <c r="K5" i="2"/>
  <c r="C103" i="2"/>
  <c r="B102" i="2"/>
  <c r="A102" i="2"/>
  <c r="H102" i="2"/>
  <c r="J102" i="2"/>
  <c r="I102" i="2"/>
  <c r="E102" i="2" s="1"/>
  <c r="G59" i="2"/>
  <c r="D59" i="2"/>
  <c r="F59" i="2" s="1"/>
  <c r="C104" i="2" l="1"/>
  <c r="A103" i="2"/>
  <c r="B103" i="2"/>
  <c r="H103" i="2"/>
  <c r="J103" i="2"/>
  <c r="I103" i="2"/>
  <c r="G2" i="3"/>
  <c r="D43" i="3" s="1"/>
  <c r="L6" i="2"/>
  <c r="L5" i="2"/>
  <c r="E103" i="2"/>
  <c r="G60" i="2"/>
  <c r="D60" i="2"/>
  <c r="F60" i="2" s="1"/>
  <c r="C105" i="2" l="1"/>
  <c r="H104" i="2"/>
  <c r="A104" i="2"/>
  <c r="B104" i="2"/>
  <c r="I104" i="2"/>
  <c r="J104" i="2"/>
  <c r="E104" i="2"/>
  <c r="G61" i="2"/>
  <c r="D61" i="2"/>
  <c r="F61" i="2" s="1"/>
  <c r="C106" i="2" l="1"/>
  <c r="A105" i="2"/>
  <c r="B105" i="2" s="1"/>
  <c r="H105" i="2"/>
  <c r="J105" i="2"/>
  <c r="I105" i="2"/>
  <c r="E105" i="2"/>
  <c r="G62" i="2"/>
  <c r="D62" i="2"/>
  <c r="F62" i="2" s="1"/>
  <c r="C107" i="2" l="1"/>
  <c r="H106" i="2"/>
  <c r="A106" i="2"/>
  <c r="B106" i="2"/>
  <c r="J106" i="2"/>
  <c r="I106" i="2"/>
  <c r="E106" i="2" s="1"/>
  <c r="G63" i="2"/>
  <c r="D63" i="2"/>
  <c r="F63" i="2" s="1"/>
  <c r="C108" i="2" l="1"/>
  <c r="H107" i="2"/>
  <c r="A107" i="2"/>
  <c r="B107" i="2" s="1"/>
  <c r="I107" i="2"/>
  <c r="J107" i="2"/>
  <c r="E107" i="2"/>
  <c r="D64" i="2"/>
  <c r="F64" i="2" s="1"/>
  <c r="G64" i="2"/>
  <c r="C109" i="2" l="1"/>
  <c r="H108" i="2"/>
  <c r="A108" i="2"/>
  <c r="B108" i="2" s="1"/>
  <c r="J108" i="2"/>
  <c r="I108" i="2"/>
  <c r="E108" i="2"/>
  <c r="D65" i="2"/>
  <c r="F65" i="2" s="1"/>
  <c r="G65" i="2"/>
  <c r="C110" i="2" l="1"/>
  <c r="H109" i="2"/>
  <c r="A109" i="2"/>
  <c r="B109" i="2" s="1"/>
  <c r="J109" i="2"/>
  <c r="I109" i="2"/>
  <c r="E109" i="2"/>
  <c r="G66" i="2"/>
  <c r="D66" i="2"/>
  <c r="F66" i="2" s="1"/>
  <c r="C111" i="2" l="1"/>
  <c r="H110" i="2"/>
  <c r="A110" i="2"/>
  <c r="B110" i="2"/>
  <c r="J110" i="2"/>
  <c r="I110" i="2"/>
  <c r="E110" i="2" s="1"/>
  <c r="D67" i="2"/>
  <c r="G67" i="2"/>
  <c r="C112" i="2" l="1"/>
  <c r="H111" i="2"/>
  <c r="A111" i="2"/>
  <c r="B111" i="2" s="1"/>
  <c r="J111" i="2"/>
  <c r="I111" i="2"/>
  <c r="E111" i="2" s="1"/>
  <c r="G68" i="2"/>
  <c r="D68" i="2"/>
  <c r="F68" i="2" s="1"/>
  <c r="F67" i="2"/>
  <c r="C113" i="2" l="1"/>
  <c r="H112" i="2"/>
  <c r="A112" i="2"/>
  <c r="B112" i="2" s="1"/>
  <c r="I112" i="2"/>
  <c r="J112" i="2"/>
  <c r="E112" i="2"/>
  <c r="G69" i="2"/>
  <c r="D69" i="2"/>
  <c r="C114" i="2" l="1"/>
  <c r="H113" i="2"/>
  <c r="B113" i="2"/>
  <c r="A113" i="2"/>
  <c r="I113" i="2"/>
  <c r="J113" i="2"/>
  <c r="E113" i="2"/>
  <c r="F69" i="2"/>
  <c r="C25" i="3"/>
  <c r="E25" i="3" s="1"/>
  <c r="D70" i="2"/>
  <c r="F70" i="2" s="1"/>
  <c r="G70" i="2"/>
  <c r="C115" i="2" l="1"/>
  <c r="A114" i="2"/>
  <c r="B114" i="2" s="1"/>
  <c r="H114" i="2"/>
  <c r="I114" i="2"/>
  <c r="J114" i="2"/>
  <c r="E114" i="2"/>
  <c r="G71" i="2"/>
  <c r="D71" i="2"/>
  <c r="F71" i="2" s="1"/>
  <c r="C116" i="2" l="1"/>
  <c r="A115" i="2"/>
  <c r="B115" i="2" s="1"/>
  <c r="H115" i="2"/>
  <c r="I115" i="2"/>
  <c r="J115" i="2"/>
  <c r="E115" i="2"/>
  <c r="D72" i="2"/>
  <c r="F72" i="2" s="1"/>
  <c r="G72" i="2"/>
  <c r="C117" i="2" l="1"/>
  <c r="H116" i="2"/>
  <c r="A116" i="2"/>
  <c r="B116" i="2" s="1"/>
  <c r="I116" i="2"/>
  <c r="J116" i="2"/>
  <c r="E116" i="2" s="1"/>
  <c r="G73" i="2"/>
  <c r="D73" i="2"/>
  <c r="F73" i="2" s="1"/>
  <c r="C118" i="2" l="1"/>
  <c r="A117" i="2"/>
  <c r="B117" i="2"/>
  <c r="H117" i="2"/>
  <c r="J117" i="2"/>
  <c r="I117" i="2"/>
  <c r="E117" i="2"/>
  <c r="D74" i="2"/>
  <c r="F74" i="2" s="1"/>
  <c r="G74" i="2"/>
  <c r="C119" i="2" l="1"/>
  <c r="B118" i="2"/>
  <c r="H118" i="2"/>
  <c r="A118" i="2"/>
  <c r="I118" i="2"/>
  <c r="J118" i="2"/>
  <c r="E118" i="2" s="1"/>
  <c r="D75" i="2"/>
  <c r="F75" i="2" s="1"/>
  <c r="G75" i="2"/>
  <c r="C120" i="2" l="1"/>
  <c r="H119" i="2"/>
  <c r="A119" i="2"/>
  <c r="B119" i="2" s="1"/>
  <c r="J119" i="2"/>
  <c r="I119" i="2"/>
  <c r="E119" i="2"/>
  <c r="G76" i="2"/>
  <c r="D76" i="2"/>
  <c r="F76" i="2" s="1"/>
  <c r="C121" i="2" l="1"/>
  <c r="H120" i="2"/>
  <c r="B120" i="2"/>
  <c r="A120" i="2"/>
  <c r="J120" i="2"/>
  <c r="I120" i="2"/>
  <c r="E120" i="2"/>
  <c r="D77" i="2"/>
  <c r="F77" i="2" s="1"/>
  <c r="G77" i="2"/>
  <c r="C122" i="2" l="1"/>
  <c r="H121" i="2"/>
  <c r="A121" i="2"/>
  <c r="B121" i="2"/>
  <c r="J121" i="2"/>
  <c r="I121" i="2"/>
  <c r="E121" i="2" s="1"/>
  <c r="G78" i="2"/>
  <c r="D78" i="2"/>
  <c r="C123" i="2" l="1"/>
  <c r="A122" i="2"/>
  <c r="B122" i="2" s="1"/>
  <c r="H122" i="2"/>
  <c r="I122" i="2"/>
  <c r="J122" i="2"/>
  <c r="E122" i="2" s="1"/>
  <c r="G79" i="2"/>
  <c r="D79" i="2"/>
  <c r="F79" i="2" s="1"/>
  <c r="F78" i="2"/>
  <c r="C124" i="2" l="1"/>
  <c r="A123" i="2"/>
  <c r="B123" i="2" s="1"/>
  <c r="H123" i="2"/>
  <c r="J123" i="2"/>
  <c r="I123" i="2"/>
  <c r="E123" i="2" s="1"/>
  <c r="D80" i="2"/>
  <c r="G80" i="2"/>
  <c r="C125" i="2" l="1"/>
  <c r="A124" i="2"/>
  <c r="B124" i="2" s="1"/>
  <c r="H124" i="2"/>
  <c r="J124" i="2"/>
  <c r="I124" i="2"/>
  <c r="E124" i="2" s="1"/>
  <c r="F80" i="2"/>
  <c r="G81" i="2"/>
  <c r="D81" i="2"/>
  <c r="F81" i="2" s="1"/>
  <c r="C126" i="2" l="1"/>
  <c r="H125" i="2"/>
  <c r="B125" i="2"/>
  <c r="A125" i="2"/>
  <c r="J125" i="2"/>
  <c r="I125" i="2"/>
  <c r="E125" i="2" s="1"/>
  <c r="C26" i="3"/>
  <c r="E26" i="3" s="1"/>
  <c r="D82" i="2"/>
  <c r="F82" i="2" s="1"/>
  <c r="G82" i="2"/>
  <c r="C127" i="2" l="1"/>
  <c r="A126" i="2"/>
  <c r="B126" i="2"/>
  <c r="H126" i="2"/>
  <c r="J126" i="2"/>
  <c r="I126" i="2"/>
  <c r="E126" i="2" s="1"/>
  <c r="G83" i="2"/>
  <c r="D83" i="2"/>
  <c r="F83" i="2" s="1"/>
  <c r="C128" i="2" l="1"/>
  <c r="H127" i="2"/>
  <c r="A127" i="2"/>
  <c r="B127" i="2" s="1"/>
  <c r="I127" i="2"/>
  <c r="J127" i="2"/>
  <c r="E127" i="2"/>
  <c r="G84" i="2"/>
  <c r="D84" i="2"/>
  <c r="F84" i="2" s="1"/>
  <c r="C129" i="2" l="1"/>
  <c r="H128" i="2"/>
  <c r="A128" i="2"/>
  <c r="B128" i="2" s="1"/>
  <c r="I128" i="2"/>
  <c r="J128" i="2"/>
  <c r="E128" i="2"/>
  <c r="G85" i="2"/>
  <c r="D85" i="2"/>
  <c r="F85" i="2" s="1"/>
  <c r="C130" i="2" l="1"/>
  <c r="A129" i="2"/>
  <c r="B129" i="2" s="1"/>
  <c r="H129" i="2"/>
  <c r="I129" i="2"/>
  <c r="J129" i="2"/>
  <c r="E129" i="2"/>
  <c r="G86" i="2"/>
  <c r="D86" i="2"/>
  <c r="F86" i="2" s="1"/>
  <c r="C131" i="2" l="1"/>
  <c r="H130" i="2"/>
  <c r="A130" i="2"/>
  <c r="B130" i="2"/>
  <c r="J130" i="2"/>
  <c r="I130" i="2"/>
  <c r="E130" i="2" s="1"/>
  <c r="G87" i="2"/>
  <c r="D87" i="2"/>
  <c r="F87" i="2" s="1"/>
  <c r="C132" i="2" l="1"/>
  <c r="A131" i="2"/>
  <c r="B131" i="2" s="1"/>
  <c r="H131" i="2"/>
  <c r="I131" i="2"/>
  <c r="J131" i="2"/>
  <c r="E131" i="2"/>
  <c r="D88" i="2"/>
  <c r="F88" i="2" s="1"/>
  <c r="G88" i="2"/>
  <c r="C133" i="2" l="1"/>
  <c r="A132" i="2"/>
  <c r="H132" i="2"/>
  <c r="B132" i="2"/>
  <c r="J132" i="2"/>
  <c r="I132" i="2"/>
  <c r="E132" i="2" s="1"/>
  <c r="D89" i="2"/>
  <c r="F89" i="2" s="1"/>
  <c r="G89" i="2"/>
  <c r="C134" i="2" l="1"/>
  <c r="H133" i="2"/>
  <c r="A133" i="2"/>
  <c r="B133" i="2" s="1"/>
  <c r="J133" i="2"/>
  <c r="I133" i="2"/>
  <c r="E133" i="2"/>
  <c r="D90" i="2"/>
  <c r="G90" i="2"/>
  <c r="C135" i="2" l="1"/>
  <c r="A134" i="2"/>
  <c r="B134" i="2" s="1"/>
  <c r="H134" i="2"/>
  <c r="I134" i="2"/>
  <c r="J134" i="2"/>
  <c r="E134" i="2"/>
  <c r="F90" i="2"/>
  <c r="G91" i="2"/>
  <c r="D91" i="2"/>
  <c r="F91" i="2" s="1"/>
  <c r="C136" i="2" l="1"/>
  <c r="A135" i="2"/>
  <c r="B135" i="2" s="1"/>
  <c r="H135" i="2"/>
  <c r="J135" i="2"/>
  <c r="I135" i="2"/>
  <c r="E135" i="2" s="1"/>
  <c r="G92" i="2"/>
  <c r="D92" i="2"/>
  <c r="C137" i="2" l="1"/>
  <c r="H136" i="2"/>
  <c r="B136" i="2"/>
  <c r="A136" i="2"/>
  <c r="I136" i="2"/>
  <c r="J136" i="2"/>
  <c r="E136" i="2"/>
  <c r="F92" i="2"/>
  <c r="G93" i="2"/>
  <c r="D93" i="2"/>
  <c r="F93" i="2" s="1"/>
  <c r="C138" i="2" l="1"/>
  <c r="A137" i="2"/>
  <c r="H137" i="2"/>
  <c r="B137" i="2"/>
  <c r="I137" i="2"/>
  <c r="J137" i="2"/>
  <c r="E137" i="2" s="1"/>
  <c r="C27" i="3"/>
  <c r="E27" i="3" s="1"/>
  <c r="G94" i="2"/>
  <c r="D94" i="2"/>
  <c r="F94" i="2" s="1"/>
  <c r="C139" i="2" l="1"/>
  <c r="H138" i="2"/>
  <c r="A138" i="2"/>
  <c r="B138" i="2"/>
  <c r="J138" i="2"/>
  <c r="I138" i="2"/>
  <c r="E138" i="2"/>
  <c r="G95" i="2"/>
  <c r="D95" i="2"/>
  <c r="F95" i="2" s="1"/>
  <c r="C140" i="2" l="1"/>
  <c r="H139" i="2"/>
  <c r="A139" i="2"/>
  <c r="B139" i="2" s="1"/>
  <c r="J139" i="2"/>
  <c r="I139" i="2"/>
  <c r="E139" i="2" s="1"/>
  <c r="G96" i="2"/>
  <c r="D96" i="2"/>
  <c r="F96" i="2" s="1"/>
  <c r="C141" i="2" l="1"/>
  <c r="H140" i="2"/>
  <c r="B140" i="2"/>
  <c r="A140" i="2"/>
  <c r="J140" i="2"/>
  <c r="I140" i="2"/>
  <c r="E140" i="2" s="1"/>
  <c r="G97" i="2"/>
  <c r="D97" i="2"/>
  <c r="F97" i="2" s="1"/>
  <c r="A141" i="2" l="1"/>
  <c r="C142" i="2"/>
  <c r="B141" i="2"/>
  <c r="H141" i="2"/>
  <c r="I141" i="2"/>
  <c r="J141" i="2"/>
  <c r="E141" i="2"/>
  <c r="D98" i="2"/>
  <c r="F98" i="2" s="1"/>
  <c r="G98" i="2"/>
  <c r="C143" i="2" l="1"/>
  <c r="H142" i="2"/>
  <c r="A142" i="2"/>
  <c r="B142" i="2"/>
  <c r="I142" i="2"/>
  <c r="J142" i="2"/>
  <c r="E142" i="2"/>
  <c r="D99" i="2"/>
  <c r="F99" i="2" s="1"/>
  <c r="G99" i="2"/>
  <c r="C144" i="2" l="1"/>
  <c r="B143" i="2"/>
  <c r="A143" i="2"/>
  <c r="H143" i="2"/>
  <c r="I143" i="2"/>
  <c r="J143" i="2"/>
  <c r="E143" i="2" s="1"/>
  <c r="D100" i="2"/>
  <c r="F100" i="2" s="1"/>
  <c r="G100" i="2"/>
  <c r="C145" i="2" l="1"/>
  <c r="H144" i="2"/>
  <c r="A144" i="2"/>
  <c r="B144" i="2"/>
  <c r="I144" i="2"/>
  <c r="J144" i="2"/>
  <c r="E144" i="2"/>
  <c r="G101" i="2"/>
  <c r="D101" i="2"/>
  <c r="F101" i="2" s="1"/>
  <c r="C146" i="2" l="1"/>
  <c r="H145" i="2"/>
  <c r="A145" i="2"/>
  <c r="B145" i="2" s="1"/>
  <c r="J145" i="2"/>
  <c r="I145" i="2"/>
  <c r="E145" i="2" s="1"/>
  <c r="G102" i="2"/>
  <c r="D102" i="2"/>
  <c r="C147" i="2" l="1"/>
  <c r="H146" i="2"/>
  <c r="A146" i="2"/>
  <c r="B146" i="2" s="1"/>
  <c r="I146" i="2"/>
  <c r="J146" i="2"/>
  <c r="E146" i="2"/>
  <c r="G103" i="2"/>
  <c r="F102" i="2"/>
  <c r="C148" i="2" l="1"/>
  <c r="H147" i="2"/>
  <c r="A147" i="2"/>
  <c r="B147" i="2" s="1"/>
  <c r="I147" i="2"/>
  <c r="J147" i="2"/>
  <c r="E147" i="2"/>
  <c r="G104" i="2"/>
  <c r="D104" i="2"/>
  <c r="C149" i="2" l="1"/>
  <c r="H148" i="2"/>
  <c r="A148" i="2"/>
  <c r="B148" i="2" s="1"/>
  <c r="I148" i="2"/>
  <c r="J148" i="2"/>
  <c r="E148" i="2"/>
  <c r="F104" i="2"/>
  <c r="D105" i="2"/>
  <c r="F105" i="2" s="1"/>
  <c r="G105" i="2"/>
  <c r="C150" i="2" l="1"/>
  <c r="H149" i="2"/>
  <c r="B149" i="2"/>
  <c r="A149" i="2"/>
  <c r="I149" i="2"/>
  <c r="J149" i="2"/>
  <c r="E149" i="2"/>
  <c r="C28" i="3"/>
  <c r="E28" i="3" s="1"/>
  <c r="G106" i="2"/>
  <c r="D106" i="2"/>
  <c r="F106" i="2" s="1"/>
  <c r="C151" i="2" l="1"/>
  <c r="H150" i="2"/>
  <c r="A150" i="2"/>
  <c r="B150" i="2" s="1"/>
  <c r="J150" i="2"/>
  <c r="I150" i="2"/>
  <c r="E150" i="2" s="1"/>
  <c r="G107" i="2"/>
  <c r="D107" i="2"/>
  <c r="F107" i="2" s="1"/>
  <c r="C152" i="2" l="1"/>
  <c r="A151" i="2"/>
  <c r="H151" i="2"/>
  <c r="B151" i="2"/>
  <c r="I151" i="2"/>
  <c r="J151" i="2"/>
  <c r="E151" i="2"/>
  <c r="G108" i="2"/>
  <c r="D108" i="2"/>
  <c r="F108" i="2" s="1"/>
  <c r="C153" i="2" l="1"/>
  <c r="A152" i="2"/>
  <c r="B152" i="2" s="1"/>
  <c r="H152" i="2"/>
  <c r="I152" i="2"/>
  <c r="J152" i="2"/>
  <c r="E152" i="2"/>
  <c r="G109" i="2"/>
  <c r="D109" i="2"/>
  <c r="F109" i="2" s="1"/>
  <c r="C154" i="2" l="1"/>
  <c r="A153" i="2"/>
  <c r="B153" i="2" s="1"/>
  <c r="H153" i="2"/>
  <c r="I153" i="2"/>
  <c r="J153" i="2"/>
  <c r="E153" i="2" s="1"/>
  <c r="D110" i="2"/>
  <c r="F110" i="2" s="1"/>
  <c r="G110" i="2"/>
  <c r="C155" i="2" l="1"/>
  <c r="H154" i="2"/>
  <c r="B154" i="2"/>
  <c r="A154" i="2"/>
  <c r="J154" i="2"/>
  <c r="I154" i="2"/>
  <c r="E154" i="2" s="1"/>
  <c r="G111" i="2"/>
  <c r="D111" i="2"/>
  <c r="F111" i="2" s="1"/>
  <c r="C156" i="2" l="1"/>
  <c r="H155" i="2"/>
  <c r="A155" i="2"/>
  <c r="B155" i="2"/>
  <c r="I155" i="2"/>
  <c r="J155" i="2"/>
  <c r="E155" i="2"/>
  <c r="G112" i="2"/>
  <c r="D112" i="2"/>
  <c r="F112" i="2" s="1"/>
  <c r="C157" i="2" l="1"/>
  <c r="A156" i="2"/>
  <c r="H156" i="2"/>
  <c r="B156" i="2"/>
  <c r="J156" i="2"/>
  <c r="I156" i="2"/>
  <c r="E156" i="2"/>
  <c r="D113" i="2"/>
  <c r="F113" i="2" s="1"/>
  <c r="G113" i="2"/>
  <c r="C158" i="2" l="1"/>
  <c r="A157" i="2"/>
  <c r="B157" i="2" s="1"/>
  <c r="H157" i="2"/>
  <c r="I157" i="2"/>
  <c r="J157" i="2"/>
  <c r="E157" i="2"/>
  <c r="G114" i="2"/>
  <c r="D114" i="2"/>
  <c r="C159" i="2" l="1"/>
  <c r="H158" i="2"/>
  <c r="A158" i="2"/>
  <c r="B158" i="2" s="1"/>
  <c r="I158" i="2"/>
  <c r="J158" i="2"/>
  <c r="E158" i="2"/>
  <c r="F114" i="2"/>
  <c r="G115" i="2"/>
  <c r="D115" i="2"/>
  <c r="F115" i="2" s="1"/>
  <c r="C160" i="2" l="1"/>
  <c r="A159" i="2"/>
  <c r="H159" i="2"/>
  <c r="B159" i="2"/>
  <c r="J159" i="2"/>
  <c r="I159" i="2"/>
  <c r="E159" i="2"/>
  <c r="D116" i="2"/>
  <c r="G116" i="2"/>
  <c r="C161" i="2" l="1"/>
  <c r="H160" i="2"/>
  <c r="A160" i="2"/>
  <c r="B160" i="2"/>
  <c r="I160" i="2"/>
  <c r="J160" i="2"/>
  <c r="E160" i="2"/>
  <c r="D117" i="2"/>
  <c r="F117" i="2" s="1"/>
  <c r="G117" i="2"/>
  <c r="F116" i="2"/>
  <c r="C29" i="3"/>
  <c r="E29" i="3" s="1"/>
  <c r="A161" i="2" l="1"/>
  <c r="C162" i="2"/>
  <c r="B161" i="2"/>
  <c r="H161" i="2"/>
  <c r="J161" i="2"/>
  <c r="I161" i="2"/>
  <c r="E161" i="2" s="1"/>
  <c r="D118" i="2"/>
  <c r="F118" i="2" s="1"/>
  <c r="G118" i="2"/>
  <c r="C163" i="2" l="1"/>
  <c r="B162" i="2"/>
  <c r="A162" i="2"/>
  <c r="H162" i="2"/>
  <c r="I162" i="2"/>
  <c r="J162" i="2"/>
  <c r="E162" i="2"/>
  <c r="D119" i="2"/>
  <c r="F119" i="2" s="1"/>
  <c r="G119" i="2"/>
  <c r="C164" i="2" l="1"/>
  <c r="H163" i="2"/>
  <c r="A163" i="2"/>
  <c r="B163" i="2" s="1"/>
  <c r="I163" i="2"/>
  <c r="J163" i="2"/>
  <c r="E163" i="2"/>
  <c r="D120" i="2"/>
  <c r="F120" i="2" s="1"/>
  <c r="G120" i="2"/>
  <c r="C165" i="2" l="1"/>
  <c r="H164" i="2"/>
  <c r="A164" i="2"/>
  <c r="B164" i="2" s="1"/>
  <c r="J164" i="2"/>
  <c r="I164" i="2"/>
  <c r="E164" i="2"/>
  <c r="D121" i="2"/>
  <c r="F121" i="2" s="1"/>
  <c r="G121" i="2"/>
  <c r="C166" i="2" l="1"/>
  <c r="H165" i="2"/>
  <c r="A165" i="2"/>
  <c r="B165" i="2" s="1"/>
  <c r="J165" i="2"/>
  <c r="I165" i="2"/>
  <c r="E165" i="2"/>
  <c r="D122" i="2"/>
  <c r="F122" i="2" s="1"/>
  <c r="G122" i="2"/>
  <c r="C167" i="2" l="1"/>
  <c r="B166" i="2"/>
  <c r="H166" i="2"/>
  <c r="A166" i="2"/>
  <c r="I166" i="2"/>
  <c r="J166" i="2"/>
  <c r="E166" i="2"/>
  <c r="G123" i="2"/>
  <c r="D123" i="2"/>
  <c r="F123" i="2" s="1"/>
  <c r="C168" i="2" l="1"/>
  <c r="A167" i="2"/>
  <c r="B167" i="2" s="1"/>
  <c r="H167" i="2"/>
  <c r="J167" i="2"/>
  <c r="I167" i="2"/>
  <c r="E167" i="2" s="1"/>
  <c r="D124" i="2"/>
  <c r="F124" i="2" s="1"/>
  <c r="G124" i="2"/>
  <c r="C169" i="2" l="1"/>
  <c r="H168" i="2"/>
  <c r="A168" i="2"/>
  <c r="B168" i="2" s="1"/>
  <c r="J168" i="2"/>
  <c r="I168" i="2"/>
  <c r="E168" i="2"/>
  <c r="G125" i="2"/>
  <c r="D125" i="2"/>
  <c r="F125" i="2" s="1"/>
  <c r="C170" i="2" l="1"/>
  <c r="A169" i="2"/>
  <c r="H169" i="2"/>
  <c r="B169" i="2"/>
  <c r="I169" i="2"/>
  <c r="J169" i="2"/>
  <c r="E169" i="2"/>
  <c r="D126" i="2"/>
  <c r="G126" i="2"/>
  <c r="C171" i="2" l="1"/>
  <c r="H170" i="2"/>
  <c r="A170" i="2"/>
  <c r="B170" i="2" s="1"/>
  <c r="J170" i="2"/>
  <c r="I170" i="2"/>
  <c r="E170" i="2"/>
  <c r="G127" i="2"/>
  <c r="D127" i="2"/>
  <c r="F127" i="2" s="1"/>
  <c r="F126" i="2"/>
  <c r="C172" i="2" l="1"/>
  <c r="H171" i="2"/>
  <c r="A171" i="2"/>
  <c r="B171" i="2"/>
  <c r="J171" i="2"/>
  <c r="I171" i="2"/>
  <c r="E171" i="2"/>
  <c r="G128" i="2"/>
  <c r="D128" i="2"/>
  <c r="F128" i="2" s="1"/>
  <c r="C173" i="2" l="1"/>
  <c r="A172" i="2"/>
  <c r="B172" i="2" s="1"/>
  <c r="H172" i="2"/>
  <c r="I172" i="2"/>
  <c r="J172" i="2"/>
  <c r="E172" i="2"/>
  <c r="D129" i="2"/>
  <c r="G129" i="2"/>
  <c r="C174" i="2" l="1"/>
  <c r="A173" i="2"/>
  <c r="B173" i="2" s="1"/>
  <c r="H173" i="2"/>
  <c r="I173" i="2"/>
  <c r="J173" i="2"/>
  <c r="E173" i="2"/>
  <c r="F129" i="2"/>
  <c r="C30" i="3"/>
  <c r="E30" i="3" s="1"/>
  <c r="D130" i="2"/>
  <c r="F130" i="2" s="1"/>
  <c r="G130" i="2"/>
  <c r="C175" i="2" l="1"/>
  <c r="A174" i="2"/>
  <c r="B174" i="2" s="1"/>
  <c r="H174" i="2"/>
  <c r="J174" i="2"/>
  <c r="I174" i="2"/>
  <c r="E174" i="2" s="1"/>
  <c r="G131" i="2"/>
  <c r="D131" i="2"/>
  <c r="F131" i="2" s="1"/>
  <c r="C176" i="2" l="1"/>
  <c r="H175" i="2"/>
  <c r="B175" i="2"/>
  <c r="A175" i="2"/>
  <c r="J175" i="2"/>
  <c r="I175" i="2"/>
  <c r="E175" i="2" s="1"/>
  <c r="D132" i="2"/>
  <c r="F132" i="2" s="1"/>
  <c r="G132" i="2"/>
  <c r="C177" i="2" l="1"/>
  <c r="H176" i="2"/>
  <c r="A176" i="2"/>
  <c r="B176" i="2" s="1"/>
  <c r="J176" i="2"/>
  <c r="I176" i="2"/>
  <c r="E176" i="2" s="1"/>
  <c r="D133" i="2"/>
  <c r="F133" i="2" s="1"/>
  <c r="G133" i="2"/>
  <c r="C178" i="2" l="1"/>
  <c r="H177" i="2"/>
  <c r="A177" i="2"/>
  <c r="B177" i="2" s="1"/>
  <c r="J177" i="2"/>
  <c r="I177" i="2"/>
  <c r="E177" i="2"/>
  <c r="D134" i="2"/>
  <c r="F134" i="2" s="1"/>
  <c r="G134" i="2"/>
  <c r="C179" i="2" l="1"/>
  <c r="B178" i="2"/>
  <c r="H178" i="2"/>
  <c r="A178" i="2"/>
  <c r="J178" i="2"/>
  <c r="I178" i="2"/>
  <c r="E178" i="2"/>
  <c r="G135" i="2"/>
  <c r="D135" i="2"/>
  <c r="F135" i="2" s="1"/>
  <c r="C180" i="2" l="1"/>
  <c r="H179" i="2"/>
  <c r="A179" i="2"/>
  <c r="B179" i="2" s="1"/>
  <c r="J179" i="2"/>
  <c r="I179" i="2"/>
  <c r="E179" i="2"/>
  <c r="D136" i="2"/>
  <c r="F136" i="2" s="1"/>
  <c r="G136" i="2"/>
  <c r="C181" i="2" l="1"/>
  <c r="H180" i="2"/>
  <c r="A180" i="2"/>
  <c r="B180" i="2" s="1"/>
  <c r="J180" i="2"/>
  <c r="I180" i="2"/>
  <c r="E180" i="2" s="1"/>
  <c r="G137" i="2"/>
  <c r="D137" i="2"/>
  <c r="F137" i="2" s="1"/>
  <c r="C182" i="2" l="1"/>
  <c r="H181" i="2"/>
  <c r="B181" i="2"/>
  <c r="A181" i="2"/>
  <c r="I181" i="2"/>
  <c r="J181" i="2"/>
  <c r="E181" i="2"/>
  <c r="G138" i="2"/>
  <c r="D138" i="2"/>
  <c r="C183" i="2" l="1"/>
  <c r="A182" i="2"/>
  <c r="B182" i="2"/>
  <c r="H182" i="2"/>
  <c r="J182" i="2"/>
  <c r="I182" i="2"/>
  <c r="E182" i="2" s="1"/>
  <c r="F138" i="2"/>
  <c r="G139" i="2"/>
  <c r="D139" i="2"/>
  <c r="F139" i="2" s="1"/>
  <c r="C184" i="2" l="1"/>
  <c r="H183" i="2"/>
  <c r="A183" i="2"/>
  <c r="B183" i="2" s="1"/>
  <c r="J183" i="2"/>
  <c r="I183" i="2"/>
  <c r="E183" i="2"/>
  <c r="G140" i="2"/>
  <c r="D140" i="2"/>
  <c r="C185" i="2" l="1"/>
  <c r="H184" i="2"/>
  <c r="A184" i="2"/>
  <c r="B184" i="2" s="1"/>
  <c r="J184" i="2"/>
  <c r="I184" i="2"/>
  <c r="E184" i="2"/>
  <c r="F140" i="2"/>
  <c r="G141" i="2"/>
  <c r="D141" i="2"/>
  <c r="F141" i="2" s="1"/>
  <c r="C186" i="2" l="1"/>
  <c r="B185" i="2"/>
  <c r="A185" i="2"/>
  <c r="H185" i="2"/>
  <c r="I185" i="2"/>
  <c r="J185" i="2"/>
  <c r="E185" i="2"/>
  <c r="C31" i="3"/>
  <c r="E31" i="3" s="1"/>
  <c r="G142" i="2"/>
  <c r="D142" i="2"/>
  <c r="F142" i="2" s="1"/>
  <c r="C187" i="2" l="1"/>
  <c r="H186" i="2"/>
  <c r="A186" i="2"/>
  <c r="B186" i="2" s="1"/>
  <c r="I186" i="2"/>
  <c r="J186" i="2"/>
  <c r="E186" i="2"/>
  <c r="D143" i="2"/>
  <c r="F143" i="2" s="1"/>
  <c r="G143" i="2"/>
  <c r="C188" i="2" l="1"/>
  <c r="A187" i="2"/>
  <c r="B187" i="2" s="1"/>
  <c r="H187" i="2"/>
  <c r="I187" i="2"/>
  <c r="J187" i="2"/>
  <c r="E187" i="2"/>
  <c r="D144" i="2"/>
  <c r="F144" i="2" s="1"/>
  <c r="G144" i="2"/>
  <c r="C189" i="2" l="1"/>
  <c r="A188" i="2"/>
  <c r="B188" i="2" s="1"/>
  <c r="H188" i="2"/>
  <c r="J188" i="2"/>
  <c r="I188" i="2"/>
  <c r="E188" i="2"/>
  <c r="D145" i="2"/>
  <c r="F145" i="2" s="1"/>
  <c r="G145" i="2"/>
  <c r="C190" i="2" l="1"/>
  <c r="H189" i="2"/>
  <c r="A189" i="2"/>
  <c r="B189" i="2" s="1"/>
  <c r="I189" i="2"/>
  <c r="J189" i="2"/>
  <c r="E189" i="2"/>
  <c r="G146" i="2"/>
  <c r="D146" i="2"/>
  <c r="F146" i="2" s="1"/>
  <c r="C191" i="2" l="1"/>
  <c r="A190" i="2"/>
  <c r="B190" i="2" s="1"/>
  <c r="H190" i="2"/>
  <c r="J190" i="2"/>
  <c r="I190" i="2"/>
  <c r="E190" i="2" s="1"/>
  <c r="G147" i="2"/>
  <c r="D147" i="2"/>
  <c r="F147" i="2" s="1"/>
  <c r="C192" i="2" l="1"/>
  <c r="H191" i="2"/>
  <c r="B191" i="2"/>
  <c r="A191" i="2"/>
  <c r="J191" i="2"/>
  <c r="I191" i="2"/>
  <c r="E191" i="2"/>
  <c r="D148" i="2"/>
  <c r="F148" i="2" s="1"/>
  <c r="G148" i="2"/>
  <c r="C193" i="2" l="1"/>
  <c r="H192" i="2"/>
  <c r="B192" i="2"/>
  <c r="A192" i="2"/>
  <c r="I192" i="2"/>
  <c r="J192" i="2"/>
  <c r="E192" i="2"/>
  <c r="G149" i="2"/>
  <c r="D149" i="2"/>
  <c r="F149" i="2" s="1"/>
  <c r="C194" i="2" l="1"/>
  <c r="A193" i="2"/>
  <c r="B193" i="2"/>
  <c r="H193" i="2"/>
  <c r="I193" i="2"/>
  <c r="J193" i="2"/>
  <c r="E193" i="2" s="1"/>
  <c r="D150" i="2"/>
  <c r="G150" i="2"/>
  <c r="C195" i="2" l="1"/>
  <c r="H194" i="2"/>
  <c r="A194" i="2"/>
  <c r="B194" i="2" s="1"/>
  <c r="J194" i="2"/>
  <c r="I194" i="2"/>
  <c r="E194" i="2"/>
  <c r="F150" i="2"/>
  <c r="G151" i="2"/>
  <c r="D151" i="2"/>
  <c r="F151" i="2" s="1"/>
  <c r="C196" i="2" l="1"/>
  <c r="H195" i="2"/>
  <c r="A195" i="2"/>
  <c r="B195" i="2" s="1"/>
  <c r="J195" i="2"/>
  <c r="I195" i="2"/>
  <c r="E195" i="2" s="1"/>
  <c r="G152" i="2"/>
  <c r="D152" i="2"/>
  <c r="C197" i="2" l="1"/>
  <c r="H196" i="2"/>
  <c r="A196" i="2"/>
  <c r="B196" i="2" s="1"/>
  <c r="I196" i="2"/>
  <c r="J196" i="2"/>
  <c r="E196" i="2"/>
  <c r="F152" i="2"/>
  <c r="G153" i="2"/>
  <c r="D153" i="2"/>
  <c r="F153" i="2" s="1"/>
  <c r="C198" i="2" l="1"/>
  <c r="A197" i="2"/>
  <c r="B197" i="2" s="1"/>
  <c r="H197" i="2"/>
  <c r="J197" i="2"/>
  <c r="I197" i="2"/>
  <c r="E197" i="2"/>
  <c r="C32" i="3"/>
  <c r="E32" i="3" s="1"/>
  <c r="D154" i="2"/>
  <c r="F154" i="2" s="1"/>
  <c r="G154" i="2"/>
  <c r="C199" i="2" l="1"/>
  <c r="A198" i="2"/>
  <c r="B198" i="2" s="1"/>
  <c r="H198" i="2"/>
  <c r="I198" i="2"/>
  <c r="J198" i="2"/>
  <c r="E198" i="2"/>
  <c r="G155" i="2"/>
  <c r="D155" i="2"/>
  <c r="F155" i="2" s="1"/>
  <c r="C200" i="2" l="1"/>
  <c r="H199" i="2"/>
  <c r="A199" i="2"/>
  <c r="B199" i="2" s="1"/>
  <c r="I199" i="2"/>
  <c r="J199" i="2"/>
  <c r="E199" i="2"/>
  <c r="G156" i="2"/>
  <c r="D156" i="2"/>
  <c r="F156" i="2" s="1"/>
  <c r="C201" i="2" l="1"/>
  <c r="H200" i="2"/>
  <c r="A200" i="2"/>
  <c r="B200" i="2" s="1"/>
  <c r="I200" i="2"/>
  <c r="J200" i="2"/>
  <c r="E200" i="2" s="1"/>
  <c r="G157" i="2"/>
  <c r="D157" i="2"/>
  <c r="F157" i="2" s="1"/>
  <c r="C202" i="2" l="1"/>
  <c r="H201" i="2"/>
  <c r="A201" i="2"/>
  <c r="B201" i="2"/>
  <c r="I201" i="2"/>
  <c r="J201" i="2"/>
  <c r="E201" i="2"/>
  <c r="D158" i="2"/>
  <c r="F158" i="2" s="1"/>
  <c r="G158" i="2"/>
  <c r="C203" i="2" l="1"/>
  <c r="H202" i="2"/>
  <c r="A202" i="2"/>
  <c r="B202" i="2" s="1"/>
  <c r="I202" i="2"/>
  <c r="J202" i="2"/>
  <c r="E202" i="2"/>
  <c r="G159" i="2"/>
  <c r="D159" i="2"/>
  <c r="F159" i="2" s="1"/>
  <c r="C204" i="2" l="1"/>
  <c r="H203" i="2"/>
  <c r="A203" i="2"/>
  <c r="B203" i="2"/>
  <c r="I203" i="2"/>
  <c r="J203" i="2"/>
  <c r="E203" i="2"/>
  <c r="G160" i="2"/>
  <c r="D160" i="2"/>
  <c r="F160" i="2" s="1"/>
  <c r="C205" i="2" l="1"/>
  <c r="A204" i="2"/>
  <c r="H204" i="2"/>
  <c r="B204" i="2"/>
  <c r="J204" i="2"/>
  <c r="I204" i="2"/>
  <c r="E204" i="2" s="1"/>
  <c r="G161" i="2"/>
  <c r="D161" i="2"/>
  <c r="F161" i="2" s="1"/>
  <c r="C206" i="2" l="1"/>
  <c r="H205" i="2"/>
  <c r="A205" i="2"/>
  <c r="B205" i="2" s="1"/>
  <c r="J205" i="2"/>
  <c r="I205" i="2"/>
  <c r="E205" i="2"/>
  <c r="G162" i="2"/>
  <c r="D162" i="2"/>
  <c r="C207" i="2" l="1"/>
  <c r="B206" i="2"/>
  <c r="A206" i="2"/>
  <c r="H206" i="2"/>
  <c r="J206" i="2"/>
  <c r="I206" i="2"/>
  <c r="E206" i="2" s="1"/>
  <c r="F162" i="2"/>
  <c r="G163" i="2"/>
  <c r="D163" i="2"/>
  <c r="F163" i="2" s="1"/>
  <c r="C208" i="2" l="1"/>
  <c r="A207" i="2"/>
  <c r="B207" i="2" s="1"/>
  <c r="H207" i="2"/>
  <c r="I207" i="2"/>
  <c r="J207" i="2"/>
  <c r="E207" i="2"/>
  <c r="D164" i="2"/>
  <c r="G164" i="2"/>
  <c r="C209" i="2" l="1"/>
  <c r="B208" i="2"/>
  <c r="H208" i="2"/>
  <c r="A208" i="2"/>
  <c r="I208" i="2"/>
  <c r="J208" i="2"/>
  <c r="E208" i="2"/>
  <c r="G165" i="2"/>
  <c r="D165" i="2"/>
  <c r="F165" i="2" s="1"/>
  <c r="F164" i="2"/>
  <c r="C210" i="2" l="1"/>
  <c r="H209" i="2"/>
  <c r="A209" i="2"/>
  <c r="B209" i="2" s="1"/>
  <c r="I209" i="2"/>
  <c r="J209" i="2"/>
  <c r="E209" i="2"/>
  <c r="C33" i="3"/>
  <c r="E33" i="3" s="1"/>
  <c r="D166" i="2"/>
  <c r="F166" i="2" s="1"/>
  <c r="G166" i="2"/>
  <c r="C211" i="2" l="1"/>
  <c r="A210" i="2"/>
  <c r="B210" i="2"/>
  <c r="H210" i="2"/>
  <c r="J210" i="2"/>
  <c r="I210" i="2"/>
  <c r="E210" i="2" s="1"/>
  <c r="G167" i="2"/>
  <c r="D167" i="2"/>
  <c r="F167" i="2" s="1"/>
  <c r="C212" i="2" l="1"/>
  <c r="A211" i="2"/>
  <c r="H211" i="2"/>
  <c r="B211" i="2"/>
  <c r="I211" i="2"/>
  <c r="J211" i="2"/>
  <c r="E211" i="2"/>
  <c r="D168" i="2"/>
  <c r="F168" i="2" s="1"/>
  <c r="G168" i="2"/>
  <c r="C213" i="2" l="1"/>
  <c r="A212" i="2"/>
  <c r="B212" i="2"/>
  <c r="H212" i="2"/>
  <c r="J212" i="2"/>
  <c r="I212" i="2"/>
  <c r="E212" i="2"/>
  <c r="G169" i="2"/>
  <c r="D169" i="2"/>
  <c r="F169" i="2" s="1"/>
  <c r="C214" i="2" l="1"/>
  <c r="A213" i="2"/>
  <c r="H213" i="2"/>
  <c r="B213" i="2"/>
  <c r="I213" i="2"/>
  <c r="J213" i="2"/>
  <c r="E213" i="2"/>
  <c r="D170" i="2"/>
  <c r="F170" i="2" s="1"/>
  <c r="G170" i="2"/>
  <c r="C215" i="2" l="1"/>
  <c r="H214" i="2"/>
  <c r="B214" i="2"/>
  <c r="A214" i="2"/>
  <c r="I214" i="2"/>
  <c r="J214" i="2"/>
  <c r="E214" i="2"/>
  <c r="D171" i="2"/>
  <c r="F171" i="2" s="1"/>
  <c r="G171" i="2"/>
  <c r="C216" i="2" l="1"/>
  <c r="H215" i="2"/>
  <c r="B215" i="2"/>
  <c r="A215" i="2"/>
  <c r="J215" i="2"/>
  <c r="I215" i="2"/>
  <c r="E215" i="2" s="1"/>
  <c r="G172" i="2"/>
  <c r="D172" i="2"/>
  <c r="F172" i="2" s="1"/>
  <c r="C217" i="2" l="1"/>
  <c r="H216" i="2"/>
  <c r="A216" i="2"/>
  <c r="B216" i="2"/>
  <c r="I216" i="2"/>
  <c r="J216" i="2"/>
  <c r="E216" i="2"/>
  <c r="D173" i="2"/>
  <c r="F173" i="2" s="1"/>
  <c r="G173" i="2"/>
  <c r="C218" i="2" l="1"/>
  <c r="A217" i="2"/>
  <c r="B217" i="2" s="1"/>
  <c r="H217" i="2"/>
  <c r="J217" i="2"/>
  <c r="I217" i="2"/>
  <c r="E217" i="2" s="1"/>
  <c r="G174" i="2"/>
  <c r="D174" i="2"/>
  <c r="H218" i="2" l="1"/>
  <c r="C219" i="2"/>
  <c r="A218" i="2"/>
  <c r="B218" i="2" s="1"/>
  <c r="J218" i="2"/>
  <c r="I218" i="2"/>
  <c r="E218" i="2" s="1"/>
  <c r="F174" i="2"/>
  <c r="G175" i="2"/>
  <c r="D175" i="2"/>
  <c r="F175" i="2" s="1"/>
  <c r="C220" i="2" l="1"/>
  <c r="H219" i="2"/>
  <c r="A219" i="2"/>
  <c r="B219" i="2" s="1"/>
  <c r="J219" i="2"/>
  <c r="I219" i="2"/>
  <c r="E219" i="2" s="1"/>
  <c r="G176" i="2"/>
  <c r="D176" i="2"/>
  <c r="C221" i="2" l="1"/>
  <c r="A220" i="2"/>
  <c r="B220" i="2" s="1"/>
  <c r="H220" i="2"/>
  <c r="I220" i="2"/>
  <c r="J220" i="2"/>
  <c r="E220" i="2"/>
  <c r="F176" i="2"/>
  <c r="D177" i="2"/>
  <c r="F177" i="2" s="1"/>
  <c r="G177" i="2"/>
  <c r="C222" i="2" l="1"/>
  <c r="A221" i="2"/>
  <c r="B221" i="2" s="1"/>
  <c r="H221" i="2"/>
  <c r="I221" i="2"/>
  <c r="J221" i="2"/>
  <c r="E221" i="2"/>
  <c r="C34" i="3"/>
  <c r="E34" i="3" s="1"/>
  <c r="D178" i="2"/>
  <c r="F178" i="2" s="1"/>
  <c r="G178" i="2"/>
  <c r="C223" i="2" l="1"/>
  <c r="B222" i="2"/>
  <c r="H222" i="2"/>
  <c r="A222" i="2"/>
  <c r="I222" i="2"/>
  <c r="J222" i="2"/>
  <c r="E222" i="2"/>
  <c r="D179" i="2"/>
  <c r="F179" i="2" s="1"/>
  <c r="G179" i="2"/>
  <c r="C224" i="2" l="1"/>
  <c r="A223" i="2"/>
  <c r="B223" i="2"/>
  <c r="H223" i="2"/>
  <c r="J223" i="2"/>
  <c r="I223" i="2"/>
  <c r="E223" i="2"/>
  <c r="D180" i="2"/>
  <c r="F180" i="2" s="1"/>
  <c r="G180" i="2"/>
  <c r="C225" i="2" l="1"/>
  <c r="H224" i="2"/>
  <c r="A224" i="2"/>
  <c r="B224" i="2" s="1"/>
  <c r="I224" i="2"/>
  <c r="J224" i="2"/>
  <c r="E224" i="2"/>
  <c r="G181" i="2"/>
  <c r="D181" i="2"/>
  <c r="F181" i="2" s="1"/>
  <c r="C226" i="2" l="1"/>
  <c r="H225" i="2"/>
  <c r="B225" i="2"/>
  <c r="A225" i="2"/>
  <c r="I225" i="2"/>
  <c r="J225" i="2"/>
  <c r="E225" i="2"/>
  <c r="D182" i="2"/>
  <c r="F182" i="2" s="1"/>
  <c r="G182" i="2"/>
  <c r="C227" i="2" l="1"/>
  <c r="H226" i="2"/>
  <c r="A226" i="2"/>
  <c r="B226" i="2" s="1"/>
  <c r="I226" i="2"/>
  <c r="J226" i="2"/>
  <c r="E226" i="2"/>
  <c r="G183" i="2"/>
  <c r="D183" i="2"/>
  <c r="F183" i="2" s="1"/>
  <c r="C228" i="2" l="1"/>
  <c r="H227" i="2"/>
  <c r="A227" i="2"/>
  <c r="B227" i="2" s="1"/>
  <c r="J227" i="2"/>
  <c r="I227" i="2"/>
  <c r="E227" i="2" s="1"/>
  <c r="D184" i="2"/>
  <c r="F184" i="2" s="1"/>
  <c r="G184" i="2"/>
  <c r="C229" i="2" l="1"/>
  <c r="B228" i="2"/>
  <c r="A228" i="2"/>
  <c r="H228" i="2"/>
  <c r="J228" i="2"/>
  <c r="I228" i="2"/>
  <c r="E228" i="2"/>
  <c r="G185" i="2"/>
  <c r="D185" i="2"/>
  <c r="F185" i="2" s="1"/>
  <c r="C230" i="2" l="1"/>
  <c r="H229" i="2"/>
  <c r="B229" i="2"/>
  <c r="A229" i="2"/>
  <c r="J229" i="2"/>
  <c r="I229" i="2"/>
  <c r="E229" i="2"/>
  <c r="G186" i="2"/>
  <c r="D186" i="2"/>
  <c r="C231" i="2" l="1"/>
  <c r="A230" i="2"/>
  <c r="B230" i="2"/>
  <c r="H230" i="2"/>
  <c r="J230" i="2"/>
  <c r="I230" i="2"/>
  <c r="E230" i="2" s="1"/>
  <c r="F186" i="2"/>
  <c r="D187" i="2"/>
  <c r="F187" i="2" s="1"/>
  <c r="G187" i="2"/>
  <c r="C232" i="2" l="1"/>
  <c r="A231" i="2"/>
  <c r="B231" i="2" s="1"/>
  <c r="H231" i="2"/>
  <c r="J231" i="2"/>
  <c r="I231" i="2"/>
  <c r="E231" i="2"/>
  <c r="D188" i="2"/>
  <c r="G188" i="2"/>
  <c r="C233" i="2" l="1"/>
  <c r="H232" i="2"/>
  <c r="A232" i="2"/>
  <c r="B232" i="2" s="1"/>
  <c r="J232" i="2"/>
  <c r="I232" i="2"/>
  <c r="E232" i="2" s="1"/>
  <c r="G189" i="2"/>
  <c r="D189" i="2"/>
  <c r="F189" i="2" s="1"/>
  <c r="F188" i="2"/>
  <c r="C35" i="3"/>
  <c r="E35" i="3" s="1"/>
  <c r="C234" i="2" l="1"/>
  <c r="H233" i="2"/>
  <c r="A233" i="2"/>
  <c r="B233" i="2" s="1"/>
  <c r="J233" i="2"/>
  <c r="I233" i="2"/>
  <c r="E233" i="2" s="1"/>
  <c r="D190" i="2"/>
  <c r="F190" i="2" s="1"/>
  <c r="G190" i="2"/>
  <c r="C235" i="2" l="1"/>
  <c r="B234" i="2"/>
  <c r="H234" i="2"/>
  <c r="A234" i="2"/>
  <c r="J234" i="2"/>
  <c r="I234" i="2"/>
  <c r="E234" i="2"/>
  <c r="G191" i="2"/>
  <c r="D191" i="2"/>
  <c r="F191" i="2" s="1"/>
  <c r="C236" i="2" l="1"/>
  <c r="A235" i="2"/>
  <c r="B235" i="2" s="1"/>
  <c r="H235" i="2"/>
  <c r="J235" i="2"/>
  <c r="I235" i="2"/>
  <c r="E235" i="2"/>
  <c r="D192" i="2"/>
  <c r="F192" i="2" s="1"/>
  <c r="G192" i="2"/>
  <c r="C237" i="2" l="1"/>
  <c r="A236" i="2"/>
  <c r="H236" i="2"/>
  <c r="B236" i="2"/>
  <c r="J236" i="2"/>
  <c r="I236" i="2"/>
  <c r="E236" i="2"/>
  <c r="D193" i="2"/>
  <c r="F193" i="2" s="1"/>
  <c r="G193" i="2"/>
  <c r="C238" i="2" l="1"/>
  <c r="A237" i="2"/>
  <c r="B237" i="2"/>
  <c r="H237" i="2"/>
  <c r="I237" i="2"/>
  <c r="J237" i="2"/>
  <c r="E237" i="2"/>
  <c r="G194" i="2"/>
  <c r="D194" i="2"/>
  <c r="F194" i="2" s="1"/>
  <c r="C239" i="2" l="1"/>
  <c r="A238" i="2"/>
  <c r="B238" i="2" s="1"/>
  <c r="H238" i="2"/>
  <c r="J238" i="2"/>
  <c r="I238" i="2"/>
  <c r="E238" i="2"/>
  <c r="D195" i="2"/>
  <c r="F195" i="2" s="1"/>
  <c r="G195" i="2"/>
  <c r="C240" i="2" l="1"/>
  <c r="A239" i="2"/>
  <c r="H239" i="2"/>
  <c r="B239" i="2"/>
  <c r="J239" i="2"/>
  <c r="I239" i="2"/>
  <c r="E239" i="2" s="1"/>
  <c r="G196" i="2"/>
  <c r="D196" i="2"/>
  <c r="F196" i="2" s="1"/>
  <c r="C241" i="2" l="1"/>
  <c r="H240" i="2"/>
  <c r="A240" i="2"/>
  <c r="B240" i="2" s="1"/>
  <c r="J240" i="2"/>
  <c r="I240" i="2"/>
  <c r="E240" i="2"/>
  <c r="D197" i="2"/>
  <c r="F197" i="2" s="1"/>
  <c r="G197" i="2"/>
  <c r="C242" i="2" l="1"/>
  <c r="B241" i="2"/>
  <c r="H241" i="2"/>
  <c r="A241" i="2"/>
  <c r="J241" i="2"/>
  <c r="I241" i="2"/>
  <c r="E241" i="2"/>
  <c r="G198" i="2"/>
  <c r="D198" i="2"/>
  <c r="C243" i="2" l="1"/>
  <c r="A242" i="2"/>
  <c r="B242" i="2" s="1"/>
  <c r="H242" i="2"/>
  <c r="I242" i="2"/>
  <c r="J242" i="2"/>
  <c r="E242" i="2"/>
  <c r="F198" i="2"/>
  <c r="D199" i="2"/>
  <c r="F199" i="2" s="1"/>
  <c r="G199" i="2"/>
  <c r="C244" i="2" l="1"/>
  <c r="H243" i="2"/>
  <c r="A243" i="2"/>
  <c r="B243" i="2" s="1"/>
  <c r="J243" i="2"/>
  <c r="I243" i="2"/>
  <c r="E243" i="2" s="1"/>
  <c r="G200" i="2"/>
  <c r="D200" i="2"/>
  <c r="C245" i="2" l="1"/>
  <c r="A244" i="2"/>
  <c r="H244" i="2"/>
  <c r="B244" i="2"/>
  <c r="J244" i="2"/>
  <c r="I244" i="2"/>
  <c r="E244" i="2" s="1"/>
  <c r="F200" i="2"/>
  <c r="D201" i="2"/>
  <c r="F201" i="2" s="1"/>
  <c r="G201" i="2"/>
  <c r="C246" i="2" l="1"/>
  <c r="A245" i="2"/>
  <c r="B245" i="2" s="1"/>
  <c r="H245" i="2"/>
  <c r="J245" i="2"/>
  <c r="I245" i="2"/>
  <c r="E245" i="2"/>
  <c r="C36" i="3"/>
  <c r="E36" i="3" s="1"/>
  <c r="G202" i="2"/>
  <c r="D202" i="2"/>
  <c r="F202" i="2" s="1"/>
  <c r="C247" i="2" l="1"/>
  <c r="A246" i="2"/>
  <c r="B246" i="2" s="1"/>
  <c r="H246" i="2"/>
  <c r="J246" i="2"/>
  <c r="I246" i="2"/>
  <c r="E246" i="2"/>
  <c r="D203" i="2"/>
  <c r="F203" i="2" s="1"/>
  <c r="G203" i="2"/>
  <c r="C248" i="2" l="1"/>
  <c r="H247" i="2"/>
  <c r="A247" i="2"/>
  <c r="B247" i="2" s="1"/>
  <c r="J247" i="2"/>
  <c r="I247" i="2"/>
  <c r="E247" i="2" s="1"/>
  <c r="D204" i="2"/>
  <c r="F204" i="2" s="1"/>
  <c r="G204" i="2"/>
  <c r="C249" i="2" l="1"/>
  <c r="H248" i="2"/>
  <c r="A248" i="2"/>
  <c r="B248" i="2"/>
  <c r="I248" i="2"/>
  <c r="J248" i="2"/>
  <c r="E248" i="2"/>
  <c r="D205" i="2"/>
  <c r="F205" i="2" s="1"/>
  <c r="G205" i="2"/>
  <c r="C250" i="2" l="1"/>
  <c r="H249" i="2"/>
  <c r="A249" i="2"/>
  <c r="B249" i="2" s="1"/>
  <c r="J249" i="2"/>
  <c r="I249" i="2"/>
  <c r="E249" i="2"/>
  <c r="D206" i="2"/>
  <c r="F206" i="2" s="1"/>
  <c r="G206" i="2"/>
  <c r="C251" i="2" l="1"/>
  <c r="B250" i="2"/>
  <c r="H250" i="2"/>
  <c r="A250" i="2"/>
  <c r="J250" i="2"/>
  <c r="I250" i="2"/>
  <c r="E250" i="2" s="1"/>
  <c r="D207" i="2"/>
  <c r="F207" i="2" s="1"/>
  <c r="G207" i="2"/>
  <c r="H251" i="2" l="1"/>
  <c r="C252" i="2"/>
  <c r="B251" i="2"/>
  <c r="A251" i="2"/>
  <c r="I251" i="2"/>
  <c r="J251" i="2"/>
  <c r="E251" i="2"/>
  <c r="G208" i="2"/>
  <c r="D208" i="2"/>
  <c r="F208" i="2" s="1"/>
  <c r="C253" i="2" l="1"/>
  <c r="A252" i="2"/>
  <c r="B252" i="2"/>
  <c r="H252" i="2"/>
  <c r="I252" i="2"/>
  <c r="J252" i="2"/>
  <c r="E252" i="2"/>
  <c r="D209" i="2"/>
  <c r="F209" i="2" s="1"/>
  <c r="G209" i="2"/>
  <c r="C254" i="2" l="1"/>
  <c r="H253" i="2"/>
  <c r="B253" i="2"/>
  <c r="A253" i="2"/>
  <c r="J253" i="2"/>
  <c r="I253" i="2"/>
  <c r="E253" i="2" s="1"/>
  <c r="D210" i="2"/>
  <c r="F210" i="2" s="1"/>
  <c r="G210" i="2"/>
  <c r="C255" i="2" l="1"/>
  <c r="A254" i="2"/>
  <c r="B254" i="2" s="1"/>
  <c r="H254" i="2"/>
  <c r="J254" i="2"/>
  <c r="I254" i="2"/>
  <c r="E254" i="2" s="1"/>
  <c r="G211" i="2"/>
  <c r="D211" i="2"/>
  <c r="C256" i="2" l="1"/>
  <c r="A255" i="2"/>
  <c r="B255" i="2"/>
  <c r="H255" i="2"/>
  <c r="I255" i="2"/>
  <c r="J255" i="2"/>
  <c r="E255" i="2"/>
  <c r="D212" i="2"/>
  <c r="F212" i="2" s="1"/>
  <c r="G212" i="2"/>
  <c r="F211" i="2"/>
  <c r="C257" i="2" l="1"/>
  <c r="H256" i="2"/>
  <c r="A256" i="2"/>
  <c r="B256" i="2" s="1"/>
  <c r="I256" i="2"/>
  <c r="J256" i="2"/>
  <c r="E256" i="2"/>
  <c r="C37" i="3"/>
  <c r="E37" i="3" s="1"/>
  <c r="G213" i="2"/>
  <c r="D213" i="2"/>
  <c r="F213" i="2" s="1"/>
  <c r="H257" i="2" l="1"/>
  <c r="C258" i="2"/>
  <c r="A257" i="2"/>
  <c r="B257" i="2"/>
  <c r="J257" i="2"/>
  <c r="I257" i="2"/>
  <c r="E257" i="2" s="1"/>
  <c r="D214" i="2"/>
  <c r="F214" i="2" s="1"/>
  <c r="G214" i="2"/>
  <c r="C259" i="2" l="1"/>
  <c r="A258" i="2"/>
  <c r="H258" i="2"/>
  <c r="B258" i="2"/>
  <c r="I258" i="2"/>
  <c r="J258" i="2"/>
  <c r="E258" i="2"/>
  <c r="D215" i="2"/>
  <c r="F215" i="2" s="1"/>
  <c r="G215" i="2"/>
  <c r="C260" i="2" l="1"/>
  <c r="H259" i="2"/>
  <c r="A259" i="2"/>
  <c r="B259" i="2"/>
  <c r="I259" i="2"/>
  <c r="J259" i="2"/>
  <c r="E259" i="2" s="1"/>
  <c r="G216" i="2"/>
  <c r="D216" i="2"/>
  <c r="F216" i="2" s="1"/>
  <c r="C261" i="2" l="1"/>
  <c r="A260" i="2"/>
  <c r="H260" i="2"/>
  <c r="B260" i="2"/>
  <c r="I260" i="2"/>
  <c r="E260" i="2" s="1"/>
  <c r="J260" i="2"/>
  <c r="G217" i="2"/>
  <c r="D217" i="2"/>
  <c r="F217" i="2" s="1"/>
  <c r="C262" i="2" l="1"/>
  <c r="H261" i="2"/>
  <c r="A261" i="2"/>
  <c r="B261" i="2" s="1"/>
  <c r="K15" i="2" s="1"/>
  <c r="J261" i="2"/>
  <c r="I261" i="2"/>
  <c r="E261" i="2" s="1"/>
  <c r="D218" i="2"/>
  <c r="F218" i="2" s="1"/>
  <c r="G218" i="2"/>
  <c r="G262" i="2" l="1"/>
  <c r="F262" i="2"/>
  <c r="H262" i="2"/>
  <c r="C263" i="2"/>
  <c r="A262" i="2"/>
  <c r="B262" i="2"/>
  <c r="J262" i="2"/>
  <c r="I262" i="2"/>
  <c r="E262" i="2"/>
  <c r="D262" i="2"/>
  <c r="G219" i="2"/>
  <c r="D219" i="2"/>
  <c r="F219" i="2" s="1"/>
  <c r="C264" i="2" l="1"/>
  <c r="G263" i="2"/>
  <c r="H263" i="2"/>
  <c r="F263" i="2"/>
  <c r="A263" i="2"/>
  <c r="B263" i="2"/>
  <c r="J263" i="2"/>
  <c r="I263" i="2"/>
  <c r="E263" i="2"/>
  <c r="D220" i="2"/>
  <c r="F220" i="2" s="1"/>
  <c r="G220" i="2"/>
  <c r="G264" i="2" l="1"/>
  <c r="H264" i="2"/>
  <c r="F264" i="2"/>
  <c r="C265" i="2"/>
  <c r="B264" i="2"/>
  <c r="A264" i="2"/>
  <c r="J264" i="2"/>
  <c r="I264" i="2"/>
  <c r="D264" i="2"/>
  <c r="E264" i="2"/>
  <c r="D221" i="2"/>
  <c r="F221" i="2" s="1"/>
  <c r="G221" i="2"/>
  <c r="C266" i="2" l="1"/>
  <c r="G265" i="2"/>
  <c r="F265" i="2"/>
  <c r="H265" i="2"/>
  <c r="A265" i="2"/>
  <c r="B265" i="2"/>
  <c r="J265" i="2"/>
  <c r="I265" i="2"/>
  <c r="D265" i="2"/>
  <c r="E265" i="2"/>
  <c r="D222" i="2"/>
  <c r="G222" i="2"/>
  <c r="F266" i="2" l="1"/>
  <c r="C267" i="2"/>
  <c r="H266" i="2"/>
  <c r="G266" i="2"/>
  <c r="B266" i="2"/>
  <c r="A266" i="2"/>
  <c r="J266" i="2"/>
  <c r="I266" i="2"/>
  <c r="E266" i="2"/>
  <c r="D266" i="2"/>
  <c r="G223" i="2"/>
  <c r="D223" i="2"/>
  <c r="F223" i="2" s="1"/>
  <c r="F222" i="2"/>
  <c r="F267" i="2" l="1"/>
  <c r="C268" i="2"/>
  <c r="H267" i="2"/>
  <c r="G267" i="2"/>
  <c r="A267" i="2"/>
  <c r="B267" i="2"/>
  <c r="J267" i="2"/>
  <c r="I267" i="2"/>
  <c r="D267" i="2"/>
  <c r="E267" i="2"/>
  <c r="G224" i="2"/>
  <c r="D224" i="2"/>
  <c r="F268" i="2" l="1"/>
  <c r="C269" i="2"/>
  <c r="H268" i="2"/>
  <c r="G268" i="2"/>
  <c r="B268" i="2"/>
  <c r="A268" i="2"/>
  <c r="J268" i="2"/>
  <c r="I268" i="2"/>
  <c r="D268" i="2"/>
  <c r="E268" i="2"/>
  <c r="F224" i="2"/>
  <c r="G225" i="2"/>
  <c r="D225" i="2"/>
  <c r="F225" i="2" s="1"/>
  <c r="F269" i="2" l="1"/>
  <c r="C270" i="2"/>
  <c r="G269" i="2"/>
  <c r="H269" i="2"/>
  <c r="A269" i="2"/>
  <c r="B269" i="2"/>
  <c r="J269" i="2"/>
  <c r="I269" i="2"/>
  <c r="D269" i="2"/>
  <c r="E269" i="2"/>
  <c r="C38" i="3"/>
  <c r="E38" i="3" s="1"/>
  <c r="D226" i="2"/>
  <c r="F226" i="2" s="1"/>
  <c r="G226" i="2"/>
  <c r="G270" i="2" l="1"/>
  <c r="F270" i="2"/>
  <c r="C271" i="2"/>
  <c r="H270" i="2"/>
  <c r="A270" i="2"/>
  <c r="B270" i="2"/>
  <c r="J270" i="2"/>
  <c r="I270" i="2"/>
  <c r="E270" i="2"/>
  <c r="D270" i="2"/>
  <c r="G227" i="2"/>
  <c r="D227" i="2"/>
  <c r="F227" i="2" s="1"/>
  <c r="C272" i="2" l="1"/>
  <c r="F271" i="2"/>
  <c r="G271" i="2"/>
  <c r="H271" i="2"/>
  <c r="B271" i="2"/>
  <c r="A271" i="2"/>
  <c r="J271" i="2"/>
  <c r="I271" i="2"/>
  <c r="D271" i="2"/>
  <c r="E271" i="2"/>
  <c r="D228" i="2"/>
  <c r="F228" i="2" s="1"/>
  <c r="G228" i="2"/>
  <c r="G272" i="2" l="1"/>
  <c r="H272" i="2"/>
  <c r="C273" i="2"/>
  <c r="F272" i="2"/>
  <c r="A272" i="2"/>
  <c r="B272" i="2"/>
  <c r="J272" i="2"/>
  <c r="I272" i="2"/>
  <c r="E272" i="2"/>
  <c r="D272" i="2"/>
  <c r="G229" i="2"/>
  <c r="D229" i="2"/>
  <c r="F229" i="2" s="1"/>
  <c r="F273" i="2" l="1"/>
  <c r="G273" i="2"/>
  <c r="H273" i="2"/>
  <c r="C274" i="2"/>
  <c r="A273" i="2"/>
  <c r="B273" i="2"/>
  <c r="J273" i="2"/>
  <c r="I273" i="2"/>
  <c r="D273" i="2"/>
  <c r="E273" i="2"/>
  <c r="D230" i="2"/>
  <c r="F230" i="2" s="1"/>
  <c r="G230" i="2"/>
  <c r="F274" i="2" l="1"/>
  <c r="C275" i="2"/>
  <c r="H274" i="2"/>
  <c r="G274" i="2"/>
  <c r="B274" i="2"/>
  <c r="A274" i="2"/>
  <c r="J274" i="2"/>
  <c r="I274" i="2"/>
  <c r="E274" i="2"/>
  <c r="D274" i="2"/>
  <c r="G231" i="2"/>
  <c r="D231" i="2"/>
  <c r="F231" i="2" s="1"/>
  <c r="F275" i="2" l="1"/>
  <c r="G275" i="2"/>
  <c r="H275" i="2"/>
  <c r="C276" i="2"/>
  <c r="B275" i="2"/>
  <c r="A275" i="2"/>
  <c r="J275" i="2"/>
  <c r="I275" i="2"/>
  <c r="D275" i="2"/>
  <c r="E275" i="2"/>
  <c r="G232" i="2"/>
  <c r="D232" i="2"/>
  <c r="F232" i="2" s="1"/>
  <c r="G276" i="2" l="1"/>
  <c r="F276" i="2"/>
  <c r="C277" i="2"/>
  <c r="H276" i="2"/>
  <c r="B276" i="2"/>
  <c r="A276" i="2"/>
  <c r="J276" i="2"/>
  <c r="I276" i="2"/>
  <c r="D276" i="2"/>
  <c r="E276" i="2"/>
  <c r="D233" i="2"/>
  <c r="F233" i="2" s="1"/>
  <c r="G233" i="2"/>
  <c r="F277" i="2" l="1"/>
  <c r="G277" i="2"/>
  <c r="C278" i="2"/>
  <c r="H277" i="2"/>
  <c r="B277" i="2"/>
  <c r="A277" i="2"/>
  <c r="J277" i="2"/>
  <c r="I277" i="2"/>
  <c r="D277" i="2"/>
  <c r="E277" i="2"/>
  <c r="D234" i="2"/>
  <c r="F234" i="2" s="1"/>
  <c r="G234" i="2"/>
  <c r="G278" i="2" l="1"/>
  <c r="F278" i="2"/>
  <c r="C279" i="2"/>
  <c r="H278" i="2"/>
  <c r="B278" i="2"/>
  <c r="A278" i="2"/>
  <c r="J278" i="2"/>
  <c r="I278" i="2"/>
  <c r="E278" i="2"/>
  <c r="D278" i="2"/>
  <c r="D235" i="2"/>
  <c r="G235" i="2"/>
  <c r="F279" i="2" l="1"/>
  <c r="C280" i="2"/>
  <c r="H279" i="2"/>
  <c r="G279" i="2"/>
  <c r="A279" i="2"/>
  <c r="B279" i="2"/>
  <c r="J279" i="2"/>
  <c r="I279" i="2"/>
  <c r="D279" i="2"/>
  <c r="E279" i="2"/>
  <c r="D236" i="2"/>
  <c r="F236" i="2" s="1"/>
  <c r="G236" i="2"/>
  <c r="F235" i="2"/>
  <c r="G280" i="2" l="1"/>
  <c r="H280" i="2"/>
  <c r="F280" i="2"/>
  <c r="A280" i="2"/>
  <c r="C281" i="2"/>
  <c r="B280" i="2"/>
  <c r="J280" i="2"/>
  <c r="I280" i="2"/>
  <c r="E280" i="2"/>
  <c r="D280" i="2"/>
  <c r="G237" i="2"/>
  <c r="D237" i="2"/>
  <c r="F281" i="2" l="1"/>
  <c r="C282" i="2"/>
  <c r="A281" i="2"/>
  <c r="H281" i="2"/>
  <c r="G281" i="2"/>
  <c r="B281" i="2"/>
  <c r="J281" i="2"/>
  <c r="I281" i="2"/>
  <c r="D281" i="2"/>
  <c r="E281" i="2"/>
  <c r="F237" i="2"/>
  <c r="C39" i="3"/>
  <c r="E39" i="3" s="1"/>
  <c r="G238" i="2"/>
  <c r="D238" i="2"/>
  <c r="F238" i="2" s="1"/>
  <c r="C283" i="2" l="1"/>
  <c r="G282" i="2"/>
  <c r="H282" i="2"/>
  <c r="F282" i="2"/>
  <c r="B282" i="2"/>
  <c r="A282" i="2"/>
  <c r="J282" i="2"/>
  <c r="I282" i="2"/>
  <c r="E282" i="2"/>
  <c r="D282" i="2"/>
  <c r="D239" i="2"/>
  <c r="F239" i="2" s="1"/>
  <c r="G239" i="2"/>
  <c r="C284" i="2" l="1"/>
  <c r="H283" i="2"/>
  <c r="F283" i="2"/>
  <c r="G283" i="2"/>
  <c r="A283" i="2"/>
  <c r="B283" i="2"/>
  <c r="J283" i="2"/>
  <c r="I283" i="2"/>
  <c r="E283" i="2"/>
  <c r="D283" i="2"/>
  <c r="D240" i="2"/>
  <c r="F240" i="2" s="1"/>
  <c r="G240" i="2"/>
  <c r="F284" i="2" l="1"/>
  <c r="H284" i="2"/>
  <c r="G284" i="2"/>
  <c r="C285" i="2"/>
  <c r="A284" i="2"/>
  <c r="B284" i="2"/>
  <c r="J284" i="2"/>
  <c r="I284" i="2"/>
  <c r="E284" i="2"/>
  <c r="D284" i="2"/>
  <c r="G241" i="2"/>
  <c r="D241" i="2"/>
  <c r="F241" i="2" s="1"/>
  <c r="H285" i="2" l="1"/>
  <c r="G285" i="2"/>
  <c r="F285" i="2"/>
  <c r="C286" i="2"/>
  <c r="B285" i="2"/>
  <c r="A285" i="2"/>
  <c r="J285" i="2"/>
  <c r="I285" i="2"/>
  <c r="E285" i="2"/>
  <c r="D285" i="2"/>
  <c r="G242" i="2"/>
  <c r="D242" i="2"/>
  <c r="F242" i="2" s="1"/>
  <c r="C287" i="2" l="1"/>
  <c r="G286" i="2"/>
  <c r="F286" i="2"/>
  <c r="H286" i="2"/>
  <c r="B286" i="2"/>
  <c r="A286" i="2"/>
  <c r="J286" i="2"/>
  <c r="I286" i="2"/>
  <c r="D286" i="2"/>
  <c r="E286" i="2"/>
  <c r="G243" i="2"/>
  <c r="D243" i="2"/>
  <c r="F243" i="2" s="1"/>
  <c r="C288" i="2" l="1"/>
  <c r="G287" i="2"/>
  <c r="F287" i="2"/>
  <c r="H287" i="2"/>
  <c r="A287" i="2"/>
  <c r="B287" i="2"/>
  <c r="J287" i="2"/>
  <c r="I287" i="2"/>
  <c r="E287" i="2"/>
  <c r="D287" i="2"/>
  <c r="D244" i="2"/>
  <c r="F244" i="2" s="1"/>
  <c r="G244" i="2"/>
  <c r="G288" i="2" l="1"/>
  <c r="F288" i="2"/>
  <c r="C289" i="2"/>
  <c r="H288" i="2"/>
  <c r="B288" i="2"/>
  <c r="A288" i="2"/>
  <c r="J288" i="2"/>
  <c r="I288" i="2"/>
  <c r="E288" i="2"/>
  <c r="D288" i="2"/>
  <c r="D245" i="2"/>
  <c r="F245" i="2" s="1"/>
  <c r="G245" i="2"/>
  <c r="G289" i="2" l="1"/>
  <c r="H289" i="2"/>
  <c r="C290" i="2"/>
  <c r="F289" i="2"/>
  <c r="A289" i="2"/>
  <c r="B289" i="2"/>
  <c r="J289" i="2"/>
  <c r="I289" i="2"/>
  <c r="D289" i="2"/>
  <c r="E289" i="2"/>
  <c r="D246" i="2"/>
  <c r="G246" i="2"/>
  <c r="C291" i="2" l="1"/>
  <c r="H290" i="2"/>
  <c r="F290" i="2"/>
  <c r="G290" i="2"/>
  <c r="A290" i="2"/>
  <c r="B290" i="2"/>
  <c r="J290" i="2"/>
  <c r="I290" i="2"/>
  <c r="E290" i="2"/>
  <c r="D290" i="2"/>
  <c r="G247" i="2"/>
  <c r="D247" i="2"/>
  <c r="F247" i="2" s="1"/>
  <c r="F246" i="2"/>
  <c r="G291" i="2" l="1"/>
  <c r="C292" i="2"/>
  <c r="H291" i="2"/>
  <c r="F291" i="2"/>
  <c r="A291" i="2"/>
  <c r="B291" i="2"/>
  <c r="J291" i="2"/>
  <c r="I291" i="2"/>
  <c r="D291" i="2"/>
  <c r="E291" i="2"/>
  <c r="G248" i="2"/>
  <c r="D248" i="2"/>
  <c r="F248" i="2" s="1"/>
  <c r="G292" i="2" l="1"/>
  <c r="C293" i="2"/>
  <c r="H292" i="2"/>
  <c r="F292" i="2"/>
  <c r="B292" i="2"/>
  <c r="A292" i="2"/>
  <c r="J292" i="2"/>
  <c r="I292" i="2"/>
  <c r="E292" i="2"/>
  <c r="D292" i="2"/>
  <c r="G249" i="2"/>
  <c r="D249" i="2"/>
  <c r="C294" i="2" l="1"/>
  <c r="G293" i="2"/>
  <c r="F293" i="2"/>
  <c r="H293" i="2"/>
  <c r="A293" i="2"/>
  <c r="B293" i="2"/>
  <c r="J293" i="2"/>
  <c r="I293" i="2"/>
  <c r="D293" i="2"/>
  <c r="E293" i="2"/>
  <c r="F249" i="2"/>
  <c r="C40" i="3"/>
  <c r="E40" i="3" s="1"/>
  <c r="G250" i="2"/>
  <c r="D250" i="2"/>
  <c r="F250" i="2" s="1"/>
  <c r="G294" i="2" l="1"/>
  <c r="C295" i="2"/>
  <c r="F294" i="2"/>
  <c r="H294" i="2"/>
  <c r="A294" i="2"/>
  <c r="B294" i="2"/>
  <c r="J294" i="2"/>
  <c r="I294" i="2"/>
  <c r="E294" i="2"/>
  <c r="D294" i="2"/>
  <c r="G251" i="2"/>
  <c r="D251" i="2"/>
  <c r="F251" i="2" s="1"/>
  <c r="C296" i="2" l="1"/>
  <c r="G295" i="2"/>
  <c r="F295" i="2"/>
  <c r="H295" i="2"/>
  <c r="B295" i="2"/>
  <c r="A295" i="2"/>
  <c r="J295" i="2"/>
  <c r="I295" i="2"/>
  <c r="E295" i="2"/>
  <c r="D295" i="2"/>
  <c r="D252" i="2"/>
  <c r="F252" i="2" s="1"/>
  <c r="G252" i="2"/>
  <c r="F296" i="2" l="1"/>
  <c r="H296" i="2"/>
  <c r="C297" i="2"/>
  <c r="G296" i="2"/>
  <c r="B296" i="2"/>
  <c r="A296" i="2"/>
  <c r="J296" i="2"/>
  <c r="I296" i="2"/>
  <c r="E296" i="2"/>
  <c r="D296" i="2"/>
  <c r="G253" i="2"/>
  <c r="D253" i="2"/>
  <c r="F253" i="2" s="1"/>
  <c r="G297" i="2" l="1"/>
  <c r="H297" i="2"/>
  <c r="F297" i="2"/>
  <c r="C298" i="2"/>
  <c r="A297" i="2"/>
  <c r="B297" i="2"/>
  <c r="J297" i="2"/>
  <c r="I297" i="2"/>
  <c r="E297" i="2"/>
  <c r="D297" i="2"/>
  <c r="D254" i="2"/>
  <c r="F254" i="2" s="1"/>
  <c r="G254" i="2"/>
  <c r="F298" i="2" l="1"/>
  <c r="H298" i="2"/>
  <c r="G298" i="2"/>
  <c r="C299" i="2"/>
  <c r="B298" i="2"/>
  <c r="A298" i="2"/>
  <c r="J298" i="2"/>
  <c r="I298" i="2"/>
  <c r="E298" i="2"/>
  <c r="D298" i="2"/>
  <c r="G255" i="2"/>
  <c r="D255" i="2"/>
  <c r="F255" i="2" s="1"/>
  <c r="F299" i="2" l="1"/>
  <c r="C300" i="2"/>
  <c r="H299" i="2"/>
  <c r="G299" i="2"/>
  <c r="A299" i="2"/>
  <c r="B299" i="2"/>
  <c r="J299" i="2"/>
  <c r="I299" i="2"/>
  <c r="E299" i="2"/>
  <c r="D299" i="2"/>
  <c r="G256" i="2"/>
  <c r="D256" i="2"/>
  <c r="F256" i="2" s="1"/>
  <c r="F300" i="2" l="1"/>
  <c r="C301" i="2"/>
  <c r="H300" i="2"/>
  <c r="G300" i="2"/>
  <c r="A300" i="2"/>
  <c r="B300" i="2"/>
  <c r="J300" i="2"/>
  <c r="I300" i="2"/>
  <c r="E300" i="2"/>
  <c r="D300" i="2"/>
  <c r="D257" i="2"/>
  <c r="F257" i="2" s="1"/>
  <c r="G257" i="2"/>
  <c r="C302" i="2" l="1"/>
  <c r="G301" i="2"/>
  <c r="F301" i="2"/>
  <c r="H301" i="2"/>
  <c r="A301" i="2"/>
  <c r="B301" i="2"/>
  <c r="J301" i="2"/>
  <c r="I301" i="2"/>
  <c r="E301" i="2"/>
  <c r="D301" i="2"/>
  <c r="D258" i="2"/>
  <c r="G258" i="2"/>
  <c r="F302" i="2" l="1"/>
  <c r="C303" i="2"/>
  <c r="G302" i="2"/>
  <c r="H302" i="2"/>
  <c r="B302" i="2"/>
  <c r="A302" i="2"/>
  <c r="J302" i="2"/>
  <c r="I302" i="2"/>
  <c r="D302" i="2"/>
  <c r="E302" i="2"/>
  <c r="G259" i="2"/>
  <c r="D259" i="2"/>
  <c r="F259" i="2" s="1"/>
  <c r="F258" i="2"/>
  <c r="F303" i="2" l="1"/>
  <c r="G303" i="2"/>
  <c r="C304" i="2"/>
  <c r="H303" i="2"/>
  <c r="A303" i="2"/>
  <c r="B303" i="2"/>
  <c r="J303" i="2"/>
  <c r="I303" i="2"/>
  <c r="D303" i="2"/>
  <c r="E303" i="2"/>
  <c r="D260" i="2"/>
  <c r="G260" i="2"/>
  <c r="C305" i="2" l="1"/>
  <c r="G304" i="2"/>
  <c r="F304" i="2"/>
  <c r="H304" i="2"/>
  <c r="A304" i="2"/>
  <c r="B304" i="2"/>
  <c r="J304" i="2"/>
  <c r="I304" i="2"/>
  <c r="E304" i="2"/>
  <c r="D304" i="2"/>
  <c r="F260" i="2"/>
  <c r="K4" i="2"/>
  <c r="D103" i="2" s="1"/>
  <c r="F103" i="2" s="1"/>
  <c r="G261" i="2"/>
  <c r="J8" i="2" s="1"/>
  <c r="D261" i="2"/>
  <c r="G305" i="2" l="1"/>
  <c r="H305" i="2"/>
  <c r="F305" i="2"/>
  <c r="C306" i="2"/>
  <c r="A305" i="2"/>
  <c r="B305" i="2"/>
  <c r="J305" i="2"/>
  <c r="I305" i="2"/>
  <c r="E305" i="2"/>
  <c r="D305" i="2"/>
  <c r="F261" i="2"/>
  <c r="C41" i="3"/>
  <c r="E41" i="3" s="1"/>
  <c r="G1" i="3"/>
  <c r="C43" i="3" s="1"/>
  <c r="E43" i="3" s="1"/>
  <c r="D263" i="2"/>
  <c r="K6" i="2"/>
  <c r="C307" i="2" l="1"/>
  <c r="H306" i="2"/>
  <c r="G306" i="2"/>
  <c r="F306" i="2"/>
  <c r="A306" i="2"/>
  <c r="B306" i="2"/>
  <c r="J306" i="2"/>
  <c r="I306" i="2"/>
  <c r="D306" i="2"/>
  <c r="E306" i="2"/>
  <c r="F307" i="2" l="1"/>
  <c r="C308" i="2"/>
  <c r="H307" i="2"/>
  <c r="G307" i="2"/>
  <c r="A307" i="2"/>
  <c r="B307" i="2"/>
  <c r="J307" i="2"/>
  <c r="I307" i="2"/>
  <c r="D307" i="2"/>
  <c r="E307" i="2"/>
  <c r="C309" i="2" l="1"/>
  <c r="F308" i="2"/>
  <c r="H308" i="2"/>
  <c r="G308" i="2"/>
  <c r="B308" i="2"/>
  <c r="A308" i="2"/>
  <c r="J308" i="2"/>
  <c r="I308" i="2"/>
  <c r="D308" i="2"/>
  <c r="E308" i="2"/>
  <c r="C310" i="2" l="1"/>
  <c r="G309" i="2"/>
  <c r="F309" i="2"/>
  <c r="H309" i="2"/>
  <c r="B309" i="2"/>
  <c r="A309" i="2"/>
  <c r="J309" i="2"/>
  <c r="I309" i="2"/>
  <c r="E309" i="2"/>
  <c r="D309" i="2"/>
  <c r="G310" i="2" l="1"/>
  <c r="F310" i="2"/>
  <c r="C311" i="2"/>
  <c r="H310" i="2"/>
  <c r="A310" i="2"/>
  <c r="B310" i="2"/>
  <c r="J310" i="2"/>
  <c r="I310" i="2"/>
  <c r="D310" i="2"/>
  <c r="E310" i="2"/>
  <c r="F311" i="2" l="1"/>
  <c r="G311" i="2"/>
  <c r="C312" i="2"/>
  <c r="H311" i="2"/>
  <c r="B311" i="2"/>
  <c r="A311" i="2"/>
  <c r="J311" i="2"/>
  <c r="I311" i="2"/>
  <c r="D311" i="2"/>
  <c r="E311" i="2"/>
  <c r="F312" i="2" l="1"/>
  <c r="G312" i="2"/>
  <c r="C313" i="2"/>
  <c r="H312" i="2"/>
  <c r="A312" i="2"/>
  <c r="B312" i="2"/>
  <c r="J312" i="2"/>
  <c r="I312" i="2"/>
  <c r="E312" i="2"/>
  <c r="D312" i="2"/>
  <c r="G313" i="2" l="1"/>
  <c r="H313" i="2"/>
  <c r="F313" i="2"/>
  <c r="C314" i="2"/>
  <c r="A313" i="2"/>
  <c r="B313" i="2"/>
  <c r="J313" i="2"/>
  <c r="I313" i="2"/>
  <c r="D313" i="2"/>
  <c r="E313" i="2"/>
  <c r="G314" i="2" l="1"/>
  <c r="H314" i="2"/>
  <c r="F314" i="2"/>
  <c r="C315" i="2"/>
  <c r="A314" i="2"/>
  <c r="B314" i="2"/>
  <c r="J314" i="2"/>
  <c r="I314" i="2"/>
  <c r="E314" i="2"/>
  <c r="D314" i="2"/>
  <c r="F315" i="2" l="1"/>
  <c r="C316" i="2"/>
  <c r="H315" i="2"/>
  <c r="G315" i="2"/>
  <c r="B315" i="2"/>
  <c r="A315" i="2"/>
  <c r="J315" i="2"/>
  <c r="I315" i="2"/>
  <c r="E315" i="2"/>
  <c r="D315" i="2"/>
  <c r="C317" i="2" l="1"/>
  <c r="F316" i="2"/>
  <c r="H316" i="2"/>
  <c r="G316" i="2"/>
  <c r="B316" i="2"/>
  <c r="A316" i="2"/>
  <c r="J316" i="2"/>
  <c r="I316" i="2"/>
  <c r="E316" i="2"/>
  <c r="D316" i="2"/>
  <c r="C318" i="2" l="1"/>
  <c r="G317" i="2"/>
  <c r="F317" i="2"/>
  <c r="H317" i="2"/>
  <c r="B317" i="2"/>
  <c r="A317" i="2"/>
  <c r="J317" i="2"/>
  <c r="I317" i="2"/>
  <c r="D317" i="2"/>
  <c r="E317" i="2"/>
  <c r="F318" i="2" l="1"/>
  <c r="G318" i="2"/>
  <c r="C319" i="2"/>
  <c r="H318" i="2"/>
  <c r="A318" i="2"/>
  <c r="B318" i="2"/>
  <c r="J318" i="2"/>
  <c r="I318" i="2"/>
  <c r="D318" i="2"/>
  <c r="E318" i="2"/>
  <c r="F319" i="2" l="1"/>
  <c r="G319" i="2"/>
  <c r="C320" i="2"/>
  <c r="H319" i="2"/>
  <c r="A319" i="2"/>
  <c r="B319" i="2"/>
  <c r="J319" i="2"/>
  <c r="I319" i="2"/>
  <c r="D319" i="2"/>
  <c r="E319" i="2"/>
  <c r="F320" i="2" l="1"/>
  <c r="G320" i="2"/>
  <c r="C321" i="2"/>
  <c r="H320" i="2"/>
  <c r="B320" i="2"/>
  <c r="A320" i="2"/>
  <c r="J320" i="2"/>
  <c r="I320" i="2"/>
  <c r="D320" i="2"/>
  <c r="E320" i="2"/>
  <c r="G321" i="2" l="1"/>
  <c r="H321" i="2"/>
  <c r="F321" i="2"/>
  <c r="C322" i="2"/>
  <c r="A321" i="2"/>
  <c r="B321" i="2"/>
  <c r="J321" i="2"/>
  <c r="I321" i="2"/>
  <c r="D321" i="2"/>
  <c r="E321" i="2"/>
  <c r="G322" i="2" l="1"/>
  <c r="H322" i="2"/>
  <c r="F322" i="2"/>
  <c r="C323" i="2"/>
  <c r="A322" i="2"/>
  <c r="B322" i="2"/>
  <c r="J322" i="2"/>
  <c r="I322" i="2"/>
  <c r="D322" i="2"/>
  <c r="E322" i="2"/>
  <c r="F323" i="2" l="1"/>
  <c r="H323" i="2"/>
  <c r="C324" i="2"/>
  <c r="A323" i="2"/>
  <c r="G323" i="2"/>
  <c r="B323" i="2"/>
  <c r="J323" i="2"/>
  <c r="I323" i="2"/>
  <c r="D323" i="2"/>
  <c r="E323" i="2"/>
  <c r="F324" i="2" l="1"/>
  <c r="G324" i="2"/>
  <c r="C325" i="2"/>
  <c r="H324" i="2"/>
  <c r="B324" i="2"/>
  <c r="A324" i="2"/>
  <c r="J324" i="2"/>
  <c r="I324" i="2"/>
  <c r="E324" i="2"/>
  <c r="D324" i="2"/>
  <c r="G325" i="2" l="1"/>
  <c r="F325" i="2"/>
  <c r="H325" i="2"/>
  <c r="A325" i="2"/>
  <c r="B325" i="2"/>
  <c r="J325" i="2"/>
  <c r="I325" i="2"/>
  <c r="B8" i="2"/>
  <c r="E325" i="2"/>
  <c r="D325" i="2"/>
  <c r="I9" i="2" s="1"/>
  <c r="K19" i="2" s="1"/>
</calcChain>
</file>

<file path=xl/comments1.xml><?xml version="1.0" encoding="utf-8"?>
<comments xmlns="http://schemas.openxmlformats.org/spreadsheetml/2006/main">
  <authors>
    <author>Ein geschätzter Microsoft Office Anwender</author>
    <author>WF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Bei Eingabe von E erfolgt die Darstellung in englisch (im Druckbereich); - ansonsten in deutsch.</t>
        </r>
      </text>
    </comment>
    <comment ref="X1" authorId="0" shapeId="0">
      <text>
        <r>
          <rPr>
            <sz val="8"/>
            <color indexed="81"/>
            <rFont val="Tahoma"/>
            <family val="2"/>
          </rPr>
          <t xml:space="preserve">
Das Programm wurde entwickelt von 
Walter Fricke, Derendorf   (WF)</t>
        </r>
      </text>
    </comment>
    <comment ref="C10" authorId="0" shapeId="0">
      <text>
        <r>
          <rPr>
            <sz val="8"/>
            <color indexed="81"/>
            <rFont val="Tahoma"/>
            <family val="2"/>
          </rPr>
          <t xml:space="preserve">Bei Eingabe von 1 erfolgt ein Rundungsausgleich am Schluß.
Zins und Tilgung sind auf 2 Stellen nach 
dem Komma gerundet für die
bankübliche Restwertentwicklung. 
</t>
        </r>
      </text>
    </comment>
    <comment ref="D10" authorId="1" shapeId="0">
      <text>
        <r>
          <rPr>
            <sz val="9"/>
            <color indexed="81"/>
            <rFont val="Segoe UI"/>
            <family val="2"/>
          </rPr>
          <t xml:space="preserve">Zahlen bis 100 = Restwert in %
über 100 = Restwert als Betrag
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Eingabe von abweichenden Zinstagen
für die erste Periode. Für 0 Tage: Wert
kleiner 0,005 eingeben.
Die Tilgung bleibt unverändert.
Sollen nur Zinsen berechnet werden: 
zusätzlich eine tilgungsfreie Periode 
(Zelle D16) eingeben.</t>
        </r>
      </text>
    </comment>
    <comment ref="D12" authorId="0" shapeId="0">
      <text>
        <r>
          <rPr>
            <sz val="8"/>
            <color indexed="81"/>
            <rFont val="Tahoma"/>
            <family val="2"/>
          </rPr>
          <t>Eingabe der Zahlungen p.a.
12 = monatlich
  4 = quartalsweise
  1 = jährlich</t>
        </r>
      </text>
    </comment>
    <comment ref="D13" authorId="0" shapeId="0">
      <text>
        <r>
          <rPr>
            <sz val="8"/>
            <color indexed="81"/>
            <rFont val="Tahoma"/>
            <family val="2"/>
          </rPr>
          <t>1 = vorschüssige Verrechnung
2 = nachschüssige Verrechnung
      aber vorschüssige Zahlung
0 = nachschüssige Verrechnung + Zahlung                                                                                                                               
W a l t e r   F R I C K E,   D e r e n d o r f   (W F)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360 = Laufzeiteingabe (D14) in Tagen
  12 = Monate
    4 = Quartale
    2 = Halbjahre
    1 = Jahre (Normalfall)
</t>
        </r>
      </text>
    </comment>
    <comment ref="C15" authorId="0" shapeId="0">
      <text>
        <r>
          <rPr>
            <sz val="8"/>
            <color indexed="81"/>
            <rFont val="Tahoma"/>
            <family val="2"/>
          </rPr>
          <t xml:space="preserve">Bei nachschüssiger Verrechnung und 
Darlehensbeginn zum 1. eines Monats 
wird bei Eingabe von 1 festgelegt, daß 
es sich um einen ganzen Monat handelt.
z.B./Quartal:
Beginn: 01.01.99; 1. Fälligkeit: 31.03.99 
ansonsten wird das korrekte Datum herangezogen:
01.01.1999  -  01.04.1999  
</t>
        </r>
      </text>
    </comment>
    <comment ref="D16" authorId="0" shapeId="0">
      <text>
        <r>
          <rPr>
            <sz val="8"/>
            <color indexed="81"/>
            <rFont val="Tahoma"/>
            <family val="2"/>
          </rPr>
          <t>Hier wird die Anzahl der tilgungsfreien Perioden 
am Anfang eingegeben.
Darf nicht mit einer Sondertilgung kollidieren.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Eingabe der Periode (oder beliebiges Datum) einer Sondertilgung (auch negative Beträge) 
Bei Eingabe von Zahl/Datum Leertaste g 
z.B.: 5 g   oder: 24.02.1999 g
besteht die Tilgung nur aus der Sondertilgung;
ohne g wird die "normale" Tilgung addiert.
Die Eingabe der Periode ohne Betrag in 
Zelle D17 bewirkt eine Tilgungsaussetzung.
Für Tilgungsaussetzungen über einen Zeitraum  eingeben: Zahl Leerzeichen Zahl z.B.: 5 8   (= Perioden 5 bis 8)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Anderes erstes Fälligkeitsdatum als es sich aus dem
Darlehensbeginn ergibt.
Wirkt sich auf eine Sondertilgung mit Datumseingabe aus.</t>
        </r>
      </text>
    </comment>
  </commentList>
</comments>
</file>

<file path=xl/comments2.xml><?xml version="1.0" encoding="utf-8"?>
<comments xmlns="http://schemas.openxmlformats.org/spreadsheetml/2006/main">
  <authors>
    <author>Ein geschätzter Microsoft Office Anwender</author>
  </authors>
  <commentList>
    <comment ref="A18" authorId="0" shapeId="0">
      <text>
        <r>
          <rPr>
            <sz val="8"/>
            <color indexed="81"/>
            <rFont val="Tahoma"/>
            <family val="2"/>
          </rPr>
          <t>Bei Eingaben zwischen 1 und 12 erfolgt die
Darstellung des Tilgungsplans per Stichtag:
3   = Stichtag 31.03.
4   = Stichtag 30.04.
12 = Stichtag 31.12. (Kalenderjahr)
0 = Mietjahr: ganze Jahre ab Anfang</t>
        </r>
      </text>
    </comment>
  </commentList>
</comments>
</file>

<file path=xl/sharedStrings.xml><?xml version="1.0" encoding="utf-8"?>
<sst xmlns="http://schemas.openxmlformats.org/spreadsheetml/2006/main" count="109" uniqueCount="69">
  <si>
    <t>WFTILG.XLS</t>
  </si>
  <si>
    <t>annuitätischer Tilgungsplan</t>
  </si>
  <si>
    <t>Die Arbeitsmappe enthält folgende Tabellen:</t>
  </si>
  <si>
    <t>-</t>
  </si>
  <si>
    <t>info (diese Programmerläuterungen)</t>
  </si>
  <si>
    <t>Tilgungsplan</t>
  </si>
  <si>
    <t>p.a. (jährliche Darstellung)</t>
  </si>
  <si>
    <t xml:space="preserve">Alle Eingabefelder sind gelb mit danebenstehender Beschreibung: </t>
  </si>
  <si>
    <t>Erläuterungsbedürftige Eingabefelder sind mit einer Notiz (roter Punkt rechts oben) als Onlinehilfe</t>
  </si>
  <si>
    <t>versehen und können bei Bedarf aufgerufen werden. Dies sind:</t>
  </si>
  <si>
    <t>Zelle B1:</t>
  </si>
  <si>
    <r>
      <t xml:space="preserve">Bei Eingabe von </t>
    </r>
    <r>
      <rPr>
        <sz val="11"/>
        <color indexed="8"/>
        <rFont val="Arial"/>
        <family val="2"/>
      </rPr>
      <t>E</t>
    </r>
    <r>
      <rPr>
        <sz val="11"/>
        <rFont val="Arial"/>
      </rPr>
      <t xml:space="preserve"> erfolgt die Darstellung in englisch.</t>
    </r>
  </si>
  <si>
    <t>Zelle C10:</t>
  </si>
  <si>
    <t>Bei Eingabe von 1 werden Zins und Tilgung auf 2 Stellen nach dem Komma gerundet.</t>
  </si>
  <si>
    <t xml:space="preserve">Das Darlehen endet dann nicht mit 0,00 bzw. dem Restwert sondern zuzüglich </t>
  </si>
  <si>
    <t>Rundungsausgleich. (Nur bei nachschüssiger Verrechnung)</t>
  </si>
  <si>
    <t>Zelle D10:</t>
  </si>
  <si>
    <t>Zahlen bis 100 = Restwert in %; - über 100 = Restwert als Betrag</t>
  </si>
  <si>
    <t>Zelle C11:</t>
  </si>
  <si>
    <t>Eingabe von abweichenden Zinstagen für die erste Periode. Die Tilgung bleibt</t>
  </si>
  <si>
    <t>unverändert; - für Tilgung = 0,00: eine tilgungsfreie Periode (Zelle D16) eingeben.</t>
  </si>
  <si>
    <t>Eingabe für 0 Zinstage: Wert kleiner 0,005.</t>
  </si>
  <si>
    <t>Zelle D12:</t>
  </si>
  <si>
    <t>Eingabe der Zahlungen p.a. (12 = monatlich; 4 = quartalsweise etc.)</t>
  </si>
  <si>
    <t>Zelle D13:</t>
  </si>
  <si>
    <t xml:space="preserve">Bei Eingabe von 1 wird die Annuität vorschüssig berechnet. </t>
  </si>
  <si>
    <t>2 = nachschüssige Verrechnung aber vorschüssige Zahlung</t>
  </si>
  <si>
    <t>0 und alles andere = nachschüssige Verrechnung und Zahlung</t>
  </si>
  <si>
    <t>Zelle C14:</t>
  </si>
  <si>
    <t>Wahlmöglichkeit, ob die Laufzeiteingabe in Zelle D14</t>
  </si>
  <si>
    <t>Tage (360), Monate (12), Quartale (4), Halbjahre (2) oder Jahre (1) sind.</t>
  </si>
  <si>
    <t>Zelle C15:</t>
  </si>
  <si>
    <r>
      <t xml:space="preserve">Bei nachschüssiger Verrechnung und Darlehensbeginn </t>
    </r>
    <r>
      <rPr>
        <sz val="11"/>
        <rFont val="Arial"/>
        <family val="2"/>
      </rPr>
      <t xml:space="preserve">zum 1. eines Monats </t>
    </r>
  </si>
  <si>
    <t>wird bei Eingabe von 1 festgelegt, daß es sich um einen ganzen Monat handelt.</t>
  </si>
  <si>
    <t>z.B.: bei quartalsweiser, nachschüssiger Verrechnung:</t>
  </si>
  <si>
    <t>Darlehensbeginn:   01.02.1996   ergibt 1. Fälligkeit:   30.04.1996</t>
  </si>
  <si>
    <t>ansonsten wird das rechnerische Datum herangezogen:</t>
  </si>
  <si>
    <t>Darlehensbeginn:   01.02.1996   ergibt 1. Fälligkeit:   01.05.1996</t>
  </si>
  <si>
    <t>Zelle D16:</t>
  </si>
  <si>
    <t>Eingabe der tilgungsfreien Perioden am Anfang</t>
  </si>
  <si>
    <t>Zelle C17:</t>
  </si>
  <si>
    <t>Eingabe der Periode (oder beliebiges Datum) für eine Sondertilgung.</t>
  </si>
  <si>
    <t xml:space="preserve">Bei zusätzlicher Eingabe von Leerzeichen g (z.B.: 5 g    oder: 24.2.98 g) erscheint </t>
  </si>
  <si>
    <r>
      <t xml:space="preserve">nur die Sondertilgung (= </t>
    </r>
    <r>
      <rPr>
        <b/>
        <sz val="11"/>
        <color indexed="10"/>
        <rFont val="Arial"/>
        <family val="2"/>
      </rPr>
      <t>g</t>
    </r>
    <r>
      <rPr>
        <sz val="11"/>
        <rFont val="Arial"/>
        <family val="2"/>
      </rPr>
      <t>esamt); - ohne g wird die "normale" Tilgung addiert.</t>
    </r>
  </si>
  <si>
    <t>Die Eingabe ohne Betrag in Zelle D17 bewirkt eine Tilgungsaussetzung.</t>
  </si>
  <si>
    <t>Für einen Zeitraum: z.B. 5 8 = Periode 5 bis 8 (Zahl Leerzeichen Zahl) eingeben.</t>
  </si>
  <si>
    <t>Zelle B21:</t>
  </si>
  <si>
    <t>Anderes erstes Fälligkeitsdatum, als es sich aus dem Darlehensbeginn ergibt.</t>
  </si>
  <si>
    <t>Zinsauswirkung nur bei Sondertilgung per Datumseingabe.</t>
  </si>
  <si>
    <t xml:space="preserve">p.a. </t>
  </si>
  <si>
    <t>Jährliche Darstellung des obigen Tilgungsplans</t>
  </si>
  <si>
    <t>Zelle A19:</t>
  </si>
  <si>
    <t>Bei Eingaben von 1 bis 12 erfolgt die Darstellung des Tilgungsplans per Stichtag:</t>
  </si>
  <si>
    <t>3 = Stichtag 31.03.    4 =  30.04.    etc.    0 = Mietjahr (ganze Jahre ab Anfang)</t>
  </si>
  <si>
    <t>Margenbarwert; andere Zahlungsweise als Verrechnung sowie Tilgungsgewichtung im</t>
  </si>
  <si>
    <r>
      <t xml:space="preserve">Programm   </t>
    </r>
    <r>
      <rPr>
        <b/>
        <sz val="11"/>
        <color indexed="12"/>
        <rFont val="Arial"/>
        <family val="2"/>
      </rPr>
      <t>WFTLGSON.XLS.</t>
    </r>
  </si>
  <si>
    <t>So-Tilgung</t>
  </si>
  <si>
    <t xml:space="preserve"> Zinsen</t>
  </si>
  <si>
    <t xml:space="preserve"> </t>
  </si>
  <si>
    <t>Die Zeilen 4 bis 9 sind frei definierbare Textfelder.</t>
  </si>
  <si>
    <t>automatischer Druckbereich</t>
  </si>
  <si>
    <t>Darstellung der (falschen) vorschüssigen HP-Methode</t>
  </si>
  <si>
    <t xml:space="preserve">Den Betrag der so ermittelten Annuität als Sondertilgung gesamt für die erste Periode </t>
  </si>
  <si>
    <t>(Zelle C17: 1 g) in Zelle D17 eingeben.</t>
  </si>
  <si>
    <t>Die erste Periode ist zinsfrei (Zelle C11: 0,0001 eingeben)</t>
  </si>
  <si>
    <t>vorschüssig kalkulieren (Zelle D13: 1)</t>
  </si>
  <si>
    <r>
      <t xml:space="preserve">auf </t>
    </r>
    <r>
      <rPr>
        <b/>
        <sz val="11"/>
        <rFont val="Arial"/>
        <family val="2"/>
      </rPr>
      <t>nachschüssige</t>
    </r>
    <r>
      <rPr>
        <sz val="11"/>
        <rFont val="Arial"/>
        <family val="2"/>
      </rPr>
      <t xml:space="preserve"> Kalkulation umstellen (Zelle D13: 0)</t>
    </r>
  </si>
  <si>
    <t>Zahlen bis 100 = Restwert in %</t>
  </si>
  <si>
    <t>über 100 = Restwert als 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</si>
</sst>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1" formatCode="_-* #,##0.00\ _D_M_-;\-* #,##0.00\ _D_M_-;_-* &quot;-&quot;??\ _D_M_-;_-@_-"/>
    <numFmt numFmtId="174" formatCode="#,##0.00;[Red]\-#,##0.00"/>
    <numFmt numFmtId="175" formatCode=";;;"/>
    <numFmt numFmtId="181" formatCode="General;\ \-\ General;General"/>
    <numFmt numFmtId="184" formatCode="[&gt;100]#,##0.00;General"/>
    <numFmt numFmtId="185" formatCode="#,##0.00;\-#,##0.00;0.00"/>
    <numFmt numFmtId="186" formatCode="General;\ \-\ General;"/>
    <numFmt numFmtId="187" formatCode="#,##0.00_ ;[Red]\-#,##0.00\ "/>
    <numFmt numFmtId="189" formatCode="[Red][=2]&quot;löschen (Optik)&quot;;[Black]\ General"/>
  </numFmts>
  <fonts count="27" x14ac:knownFonts="1">
    <font>
      <sz val="11"/>
      <name val="Arial"/>
    </font>
    <font>
      <b/>
      <sz val="11"/>
      <name val="Arial"/>
    </font>
    <font>
      <sz val="11"/>
      <name val="Arial"/>
      <family val="2"/>
    </font>
    <font>
      <sz val="10"/>
      <name val="MS Sans Serif"/>
    </font>
    <font>
      <sz val="1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8"/>
      <name val="Arial"/>
      <family val="2"/>
    </font>
    <font>
      <sz val="11"/>
      <color indexed="12"/>
      <name val="Arial"/>
      <family val="2"/>
    </font>
    <font>
      <b/>
      <sz val="11"/>
      <color indexed="12"/>
      <name val="Arial"/>
      <family val="2"/>
    </font>
    <font>
      <sz val="11"/>
      <color indexed="8"/>
      <name val="Arial"/>
      <family val="2"/>
    </font>
    <font>
      <b/>
      <sz val="11"/>
      <color indexed="12"/>
      <name val="Arial"/>
      <family val="2"/>
    </font>
    <font>
      <sz val="11"/>
      <color indexed="10"/>
      <name val="Arial"/>
      <family val="2"/>
    </font>
    <font>
      <u/>
      <sz val="11"/>
      <name val="Arial"/>
      <family val="2"/>
    </font>
    <font>
      <b/>
      <sz val="10"/>
      <name val="Arial"/>
      <family val="2"/>
    </font>
    <font>
      <sz val="11"/>
      <color indexed="10"/>
      <name val="Arial"/>
      <family val="2"/>
    </font>
    <font>
      <sz val="11"/>
      <color indexed="9"/>
      <name val="Arial"/>
      <family val="2"/>
    </font>
    <font>
      <sz val="12"/>
      <name val="Times New Roman"/>
      <family val="1"/>
    </font>
    <font>
      <b/>
      <sz val="11"/>
      <name val="Arial"/>
      <family val="2"/>
    </font>
    <font>
      <b/>
      <sz val="9"/>
      <color indexed="12"/>
      <name val="Arial"/>
      <family val="2"/>
    </font>
    <font>
      <b/>
      <sz val="12"/>
      <color indexed="10"/>
      <name val="Arial"/>
      <family val="2"/>
    </font>
    <font>
      <b/>
      <sz val="10"/>
      <color indexed="12"/>
      <name val="Arial"/>
      <family val="2"/>
    </font>
    <font>
      <sz val="8"/>
      <color indexed="81"/>
      <name val="Tahoma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2">
    <xf numFmtId="0" fontId="0" fillId="0" borderId="0"/>
    <xf numFmtId="174" fontId="3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3" fillId="0" borderId="0"/>
    <xf numFmtId="0" fontId="3" fillId="0" borderId="0"/>
    <xf numFmtId="1" fontId="4" fillId="0" borderId="0" applyNumberFormat="0" applyFont="0" applyProtection="0">
      <protection locked="0"/>
    </xf>
    <xf numFmtId="0" fontId="4" fillId="0" borderId="0"/>
    <xf numFmtId="0" fontId="3" fillId="0" borderId="0"/>
    <xf numFmtId="1" fontId="4" fillId="0" borderId="0" applyNumberFormat="0" applyFont="0" applyProtection="0">
      <protection locked="0"/>
    </xf>
    <xf numFmtId="0" fontId="3" fillId="0" borderId="0"/>
    <xf numFmtId="0" fontId="3" fillId="0" borderId="0"/>
    <xf numFmtId="1" fontId="4" fillId="0" borderId="0" applyNumberFormat="0" applyFont="0" applyProtection="0">
      <protection locked="0"/>
    </xf>
  </cellStyleXfs>
  <cellXfs count="163">
    <xf numFmtId="0" fontId="0" fillId="0" borderId="0" xfId="0"/>
    <xf numFmtId="14" fontId="13" fillId="2" borderId="0" xfId="11" applyNumberFormat="1" applyFont="1" applyFill="1" applyProtection="1">
      <protection locked="0"/>
    </xf>
    <xf numFmtId="175" fontId="10" fillId="3" borderId="0" xfId="1" applyNumberFormat="1" applyFont="1" applyFill="1" applyAlignment="1" applyProtection="1">
      <alignment vertical="center"/>
      <protection locked="0"/>
    </xf>
    <xf numFmtId="0" fontId="8" fillId="0" borderId="0" xfId="11" applyNumberFormat="1" applyFont="1" applyAlignment="1" applyProtection="1">
      <alignment horizontal="left"/>
      <protection hidden="1"/>
    </xf>
    <xf numFmtId="0" fontId="2" fillId="2" borderId="0" xfId="11" applyNumberFormat="1" applyFont="1" applyFill="1" applyProtection="1"/>
    <xf numFmtId="0" fontId="3" fillId="0" borderId="0" xfId="11" applyNumberFormat="1" applyFont="1" applyProtection="1"/>
    <xf numFmtId="4" fontId="13" fillId="2" borderId="0" xfId="11" applyNumberFormat="1" applyFont="1" applyFill="1" applyAlignment="1" applyProtection="1">
      <alignment horizontal="right"/>
      <protection locked="0"/>
    </xf>
    <xf numFmtId="4" fontId="13" fillId="2" borderId="0" xfId="11" applyNumberFormat="1" applyFont="1" applyFill="1" applyProtection="1">
      <protection locked="0"/>
    </xf>
    <xf numFmtId="181" fontId="11" fillId="0" borderId="0" xfId="11" applyNumberFormat="1" applyFont="1" applyProtection="1">
      <protection hidden="1"/>
    </xf>
    <xf numFmtId="0" fontId="3" fillId="0" borderId="0" xfId="11" applyNumberFormat="1" applyFont="1" applyProtection="1">
      <protection hidden="1"/>
    </xf>
    <xf numFmtId="0" fontId="2" fillId="0" borderId="0" xfId="11" applyNumberFormat="1" applyFont="1" applyProtection="1"/>
    <xf numFmtId="0" fontId="2" fillId="0" borderId="0" xfId="11" applyNumberFormat="1" applyFont="1" applyProtection="1">
      <protection locked="0"/>
    </xf>
    <xf numFmtId="181" fontId="2" fillId="0" borderId="0" xfId="11" applyNumberFormat="1" applyFont="1" applyProtection="1">
      <protection hidden="1"/>
    </xf>
    <xf numFmtId="0" fontId="7" fillId="0" borderId="0" xfId="11" applyNumberFormat="1" applyFont="1" applyAlignment="1" applyProtection="1">
      <protection hidden="1"/>
    </xf>
    <xf numFmtId="0" fontId="2" fillId="0" borderId="0" xfId="11" applyNumberFormat="1" applyFont="1" applyAlignment="1" applyProtection="1">
      <protection hidden="1"/>
    </xf>
    <xf numFmtId="0" fontId="2" fillId="0" borderId="0" xfId="11" applyNumberFormat="1" applyFont="1" applyProtection="1">
      <protection hidden="1"/>
    </xf>
    <xf numFmtId="0" fontId="2" fillId="3" borderId="0" xfId="11" applyNumberFormat="1" applyFont="1" applyFill="1" applyAlignment="1" applyProtection="1">
      <alignment horizontal="left"/>
      <protection locked="0"/>
    </xf>
    <xf numFmtId="0" fontId="2" fillId="3" borderId="0" xfId="11" applyNumberFormat="1" applyFont="1" applyFill="1" applyProtection="1">
      <protection locked="0"/>
    </xf>
    <xf numFmtId="4" fontId="13" fillId="3" borderId="0" xfId="11" applyNumberFormat="1" applyFont="1" applyFill="1" applyProtection="1">
      <protection locked="0"/>
    </xf>
    <xf numFmtId="0" fontId="2" fillId="0" borderId="0" xfId="11" applyNumberFormat="1" applyFont="1" applyAlignment="1" applyProtection="1">
      <alignment horizontal="left"/>
      <protection hidden="1"/>
    </xf>
    <xf numFmtId="186" fontId="13" fillId="3" borderId="0" xfId="11" applyNumberFormat="1" applyFont="1" applyFill="1" applyProtection="1">
      <protection locked="0"/>
    </xf>
    <xf numFmtId="0" fontId="2" fillId="0" borderId="0" xfId="11" applyNumberFormat="1" applyFont="1" applyAlignment="1" applyProtection="1">
      <alignment horizontal="right"/>
      <protection hidden="1"/>
    </xf>
    <xf numFmtId="0" fontId="14" fillId="0" borderId="0" xfId="11" applyNumberFormat="1" applyFont="1" applyAlignment="1" applyProtection="1">
      <alignment horizontal="left"/>
      <protection hidden="1"/>
    </xf>
    <xf numFmtId="0" fontId="2" fillId="0" borderId="0" xfId="11" applyNumberFormat="1" applyFont="1" applyAlignment="1" applyProtection="1">
      <alignment horizontal="right"/>
    </xf>
    <xf numFmtId="0" fontId="9" fillId="2" borderId="0" xfId="11" applyNumberFormat="1" applyFont="1" applyFill="1" applyAlignment="1" applyProtection="1">
      <alignment horizontal="right"/>
    </xf>
    <xf numFmtId="4" fontId="2" fillId="0" borderId="0" xfId="11" applyNumberFormat="1" applyFont="1" applyAlignment="1" applyProtection="1">
      <alignment horizontal="left"/>
      <protection hidden="1"/>
    </xf>
    <xf numFmtId="1" fontId="2" fillId="0" borderId="0" xfId="11" applyFont="1" applyProtection="1">
      <protection locked="0"/>
    </xf>
    <xf numFmtId="175" fontId="10" fillId="3" borderId="0" xfId="3" applyNumberFormat="1" applyFont="1" applyFill="1" applyProtection="1">
      <protection locked="0"/>
    </xf>
    <xf numFmtId="184" fontId="13" fillId="3" borderId="0" xfId="11" applyNumberFormat="1" applyFont="1" applyFill="1" applyProtection="1">
      <protection locked="0"/>
    </xf>
    <xf numFmtId="4" fontId="2" fillId="0" borderId="0" xfId="11" applyNumberFormat="1" applyFont="1" applyProtection="1">
      <protection hidden="1"/>
    </xf>
    <xf numFmtId="175" fontId="5" fillId="3" borderId="0" xfId="11" applyNumberFormat="1" applyFont="1" applyFill="1" applyProtection="1">
      <protection locked="0"/>
    </xf>
    <xf numFmtId="0" fontId="13" fillId="3" borderId="0" xfId="11" applyNumberFormat="1" applyFont="1" applyFill="1" applyProtection="1">
      <protection locked="0"/>
    </xf>
    <xf numFmtId="4" fontId="5" fillId="0" borderId="0" xfId="11" quotePrefix="1" applyNumberFormat="1" applyFont="1" applyProtection="1">
      <protection hidden="1"/>
    </xf>
    <xf numFmtId="0" fontId="15" fillId="0" borderId="0" xfId="11" applyNumberFormat="1" applyFont="1" applyProtection="1">
      <protection hidden="1"/>
    </xf>
    <xf numFmtId="2" fontId="2" fillId="0" borderId="0" xfId="11" applyNumberFormat="1" applyFont="1" applyAlignment="1" applyProtection="1">
      <alignment horizontal="right"/>
      <protection hidden="1"/>
    </xf>
    <xf numFmtId="4" fontId="16" fillId="0" borderId="0" xfId="11" applyNumberFormat="1" applyFont="1" applyProtection="1">
      <protection hidden="1"/>
    </xf>
    <xf numFmtId="0" fontId="13" fillId="2" borderId="0" xfId="11" applyNumberFormat="1" applyFont="1" applyFill="1" applyAlignment="1" applyProtection="1">
      <alignment horizontal="center"/>
    </xf>
    <xf numFmtId="0" fontId="11" fillId="0" borderId="0" xfId="11" applyNumberFormat="1" applyFont="1" applyProtection="1"/>
    <xf numFmtId="0" fontId="9" fillId="0" borderId="0" xfId="11" applyNumberFormat="1" applyFont="1" applyAlignment="1" applyProtection="1">
      <alignment horizontal="left"/>
      <protection hidden="1"/>
    </xf>
    <xf numFmtId="175" fontId="13" fillId="3" borderId="0" xfId="11" applyNumberFormat="1" applyFont="1" applyFill="1" applyProtection="1">
      <protection locked="0"/>
    </xf>
    <xf numFmtId="0" fontId="9" fillId="0" borderId="0" xfId="11" applyNumberFormat="1" applyFont="1" applyProtection="1">
      <protection hidden="1"/>
    </xf>
    <xf numFmtId="0" fontId="2" fillId="0" borderId="0" xfId="11" quotePrefix="1" applyNumberFormat="1" applyFont="1" applyAlignment="1" applyProtection="1">
      <alignment horizontal="center"/>
    </xf>
    <xf numFmtId="181" fontId="8" fillId="0" borderId="0" xfId="11" applyNumberFormat="1" applyFont="1" applyAlignment="1" applyProtection="1">
      <alignment horizontal="center"/>
      <protection hidden="1"/>
    </xf>
    <xf numFmtId="181" fontId="11" fillId="0" borderId="0" xfId="11" applyNumberFormat="1" applyFont="1" applyAlignment="1" applyProtection="1">
      <alignment horizontal="center"/>
      <protection hidden="1"/>
    </xf>
    <xf numFmtId="0" fontId="11" fillId="0" borderId="0" xfId="11" applyNumberFormat="1" applyFont="1" applyAlignment="1" applyProtection="1">
      <alignment horizontal="left"/>
      <protection hidden="1"/>
    </xf>
    <xf numFmtId="14" fontId="13" fillId="3" borderId="0" xfId="11" applyNumberFormat="1" applyFont="1" applyFill="1" applyProtection="1">
      <protection locked="0"/>
    </xf>
    <xf numFmtId="4" fontId="5" fillId="0" borderId="0" xfId="11" applyNumberFormat="1" applyFont="1" applyProtection="1">
      <protection hidden="1"/>
    </xf>
    <xf numFmtId="181" fontId="2" fillId="0" borderId="0" xfId="11" applyNumberFormat="1" applyFont="1" applyAlignment="1" applyProtection="1">
      <alignment horizontal="right"/>
      <protection hidden="1"/>
    </xf>
    <xf numFmtId="0" fontId="2" fillId="0" borderId="0" xfId="11" applyNumberFormat="1" applyFont="1" applyAlignment="1" applyProtection="1">
      <alignment horizontal="center"/>
      <protection hidden="1"/>
    </xf>
    <xf numFmtId="0" fontId="2" fillId="0" borderId="0" xfId="11" applyNumberFormat="1" applyFont="1" applyAlignment="1" applyProtection="1">
      <alignment horizontal="center"/>
    </xf>
    <xf numFmtId="0" fontId="2" fillId="0" borderId="0" xfId="11" applyNumberFormat="1" applyFont="1" applyAlignment="1" applyProtection="1"/>
    <xf numFmtId="4" fontId="2" fillId="0" borderId="0" xfId="11" applyNumberFormat="1" applyFont="1" applyProtection="1">
      <protection locked="0"/>
    </xf>
    <xf numFmtId="0" fontId="2" fillId="4" borderId="0" xfId="11" applyNumberFormat="1" applyFont="1" applyFill="1" applyAlignment="1" applyProtection="1"/>
    <xf numFmtId="4" fontId="11" fillId="0" borderId="0" xfId="11" applyNumberFormat="1" applyFont="1" applyAlignment="1" applyProtection="1">
      <alignment horizontal="left"/>
      <protection hidden="1"/>
    </xf>
    <xf numFmtId="0" fontId="5" fillId="0" borderId="0" xfId="11" applyNumberFormat="1" applyFont="1" applyAlignment="1" applyProtection="1">
      <alignment horizontal="left" vertical="center"/>
      <protection hidden="1"/>
    </xf>
    <xf numFmtId="0" fontId="17" fillId="0" borderId="0" xfId="11" applyNumberFormat="1" applyFont="1" applyProtection="1">
      <protection hidden="1"/>
    </xf>
    <xf numFmtId="0" fontId="1" fillId="0" borderId="0" xfId="11" applyNumberFormat="1" applyFont="1" applyAlignment="1" applyProtection="1">
      <protection hidden="1"/>
    </xf>
    <xf numFmtId="0" fontId="1" fillId="0" borderId="0" xfId="11" applyNumberFormat="1" applyFont="1" applyAlignment="1" applyProtection="1">
      <alignment horizontal="right"/>
      <protection hidden="1"/>
    </xf>
    <xf numFmtId="0" fontId="18" fillId="0" borderId="0" xfId="11" applyNumberFormat="1" applyFont="1" applyProtection="1"/>
    <xf numFmtId="0" fontId="17" fillId="0" borderId="0" xfId="11" applyNumberFormat="1" applyFont="1" applyAlignment="1" applyProtection="1">
      <alignment horizontal="right" vertical="top"/>
      <protection hidden="1"/>
    </xf>
    <xf numFmtId="175" fontId="19" fillId="0" borderId="0" xfId="11" applyNumberFormat="1" applyFont="1" applyProtection="1">
      <protection hidden="1"/>
    </xf>
    <xf numFmtId="0" fontId="13" fillId="2" borderId="0" xfId="11" quotePrefix="1" applyNumberFormat="1" applyFont="1" applyFill="1" applyProtection="1">
      <protection locked="0"/>
    </xf>
    <xf numFmtId="14" fontId="2" fillId="0" borderId="0" xfId="11" applyNumberFormat="1" applyFont="1" applyAlignment="1" applyProtection="1">
      <alignment horizontal="left"/>
      <protection hidden="1"/>
    </xf>
    <xf numFmtId="0" fontId="20" fillId="0" borderId="0" xfId="11" applyNumberFormat="1" applyFont="1" applyProtection="1">
      <protection hidden="1"/>
    </xf>
    <xf numFmtId="0" fontId="8" fillId="0" borderId="0" xfId="7" applyFont="1" applyFill="1" applyProtection="1">
      <protection hidden="1"/>
    </xf>
    <xf numFmtId="4" fontId="5" fillId="2" borderId="0" xfId="7" applyNumberFormat="1" applyFont="1" applyFill="1" applyProtection="1">
      <protection hidden="1"/>
    </xf>
    <xf numFmtId="0" fontId="5" fillId="0" borderId="0" xfId="7" applyNumberFormat="1" applyFont="1" applyFill="1" applyProtection="1">
      <protection hidden="1"/>
    </xf>
    <xf numFmtId="0" fontId="5" fillId="0" borderId="0" xfId="7" applyFont="1" applyProtection="1">
      <protection hidden="1"/>
    </xf>
    <xf numFmtId="0" fontId="5" fillId="0" borderId="0" xfId="7" applyNumberFormat="1" applyFont="1" applyProtection="1">
      <protection hidden="1"/>
    </xf>
    <xf numFmtId="0" fontId="7" fillId="0" borderId="0" xfId="7" applyFont="1" applyFill="1" applyAlignment="1" applyProtection="1">
      <alignment horizontal="left"/>
      <protection hidden="1"/>
    </xf>
    <xf numFmtId="0" fontId="5" fillId="0" borderId="0" xfId="7" applyFont="1" applyFill="1" applyProtection="1">
      <protection hidden="1"/>
    </xf>
    <xf numFmtId="0" fontId="1" fillId="0" borderId="0" xfId="7" applyFont="1" applyFill="1" applyProtection="1">
      <protection hidden="1"/>
    </xf>
    <xf numFmtId="0" fontId="5" fillId="3" borderId="0" xfId="7" applyNumberFormat="1" applyFont="1" applyFill="1" applyAlignment="1" applyProtection="1">
      <alignment horizontal="left"/>
      <protection locked="0"/>
    </xf>
    <xf numFmtId="0" fontId="5" fillId="3" borderId="0" xfId="7" applyNumberFormat="1" applyFont="1" applyFill="1" applyProtection="1">
      <protection locked="0"/>
    </xf>
    <xf numFmtId="0" fontId="5" fillId="3" borderId="0" xfId="7" applyFont="1" applyFill="1" applyProtection="1">
      <protection locked="0"/>
    </xf>
    <xf numFmtId="0" fontId="11" fillId="0" borderId="0" xfId="7" applyNumberFormat="1" applyFont="1" applyFill="1" applyProtection="1">
      <protection hidden="1"/>
    </xf>
    <xf numFmtId="14" fontId="5" fillId="3" borderId="0" xfId="7" applyNumberFormat="1" applyFont="1" applyFill="1" applyProtection="1">
      <protection locked="0"/>
    </xf>
    <xf numFmtId="0" fontId="9" fillId="0" borderId="0" xfId="7" applyFont="1" applyProtection="1">
      <protection hidden="1"/>
    </xf>
    <xf numFmtId="181" fontId="10" fillId="0" borderId="0" xfId="7" applyNumberFormat="1" applyFont="1" applyProtection="1">
      <protection hidden="1"/>
    </xf>
    <xf numFmtId="4" fontId="5" fillId="3" borderId="0" xfId="7" applyNumberFormat="1" applyFont="1" applyFill="1" applyAlignment="1" applyProtection="1">
      <alignment horizontal="center"/>
      <protection locked="0"/>
    </xf>
    <xf numFmtId="14" fontId="5" fillId="0" borderId="0" xfId="7" applyNumberFormat="1" applyFont="1" applyFill="1" applyProtection="1">
      <protection hidden="1"/>
    </xf>
    <xf numFmtId="0" fontId="9" fillId="0" borderId="0" xfId="8" applyNumberFormat="1" applyFont="1" applyProtection="1">
      <protection hidden="1"/>
    </xf>
    <xf numFmtId="0" fontId="3" fillId="0" borderId="0" xfId="8" applyNumberFormat="1" applyFont="1" applyProtection="1">
      <protection hidden="1"/>
    </xf>
    <xf numFmtId="181" fontId="5" fillId="0" borderId="0" xfId="7" applyNumberFormat="1" applyFont="1" applyProtection="1">
      <protection hidden="1"/>
    </xf>
    <xf numFmtId="0" fontId="21" fillId="0" borderId="0" xfId="7" applyFont="1" applyProtection="1">
      <protection hidden="1"/>
    </xf>
    <xf numFmtId="0" fontId="14" fillId="0" borderId="0" xfId="7" applyNumberFormat="1" applyFont="1" applyFill="1" applyAlignment="1" applyProtection="1">
      <alignment horizontal="left"/>
      <protection hidden="1"/>
    </xf>
    <xf numFmtId="4" fontId="5" fillId="0" borderId="0" xfId="7" applyNumberFormat="1" applyFont="1" applyFill="1" applyProtection="1">
      <protection hidden="1"/>
    </xf>
    <xf numFmtId="0" fontId="14" fillId="0" borderId="0" xfId="7" applyFont="1" applyProtection="1">
      <protection hidden="1"/>
    </xf>
    <xf numFmtId="0" fontId="3" fillId="0" borderId="0" xfId="7" applyNumberFormat="1" applyProtection="1">
      <protection hidden="1"/>
    </xf>
    <xf numFmtId="184" fontId="13" fillId="2" borderId="0" xfId="11" applyNumberFormat="1" applyFont="1" applyFill="1" applyProtection="1">
      <protection hidden="1"/>
    </xf>
    <xf numFmtId="0" fontId="5" fillId="0" borderId="0" xfId="7" applyNumberFormat="1" applyFont="1" applyFill="1" applyAlignment="1" applyProtection="1">
      <alignment horizontal="left"/>
      <protection hidden="1"/>
    </xf>
    <xf numFmtId="0" fontId="5" fillId="0" borderId="0" xfId="7" applyFont="1" applyFill="1" applyAlignment="1" applyProtection="1">
      <alignment horizontal="right"/>
      <protection hidden="1"/>
    </xf>
    <xf numFmtId="175" fontId="5" fillId="0" borderId="0" xfId="7" applyNumberFormat="1" applyFont="1" applyFill="1" applyProtection="1">
      <protection hidden="1"/>
    </xf>
    <xf numFmtId="0" fontId="1" fillId="0" borderId="0" xfId="7" applyNumberFormat="1" applyFont="1" applyProtection="1">
      <protection hidden="1"/>
    </xf>
    <xf numFmtId="0" fontId="8" fillId="0" borderId="0" xfId="7" applyNumberFormat="1" applyFont="1" applyFill="1" applyAlignment="1" applyProtection="1">
      <alignment horizontal="right"/>
      <protection hidden="1"/>
    </xf>
    <xf numFmtId="0" fontId="5" fillId="0" borderId="0" xfId="7" applyFont="1" applyAlignment="1" applyProtection="1">
      <alignment horizontal="right"/>
      <protection hidden="1"/>
    </xf>
    <xf numFmtId="0" fontId="22" fillId="0" borderId="0" xfId="7" applyFont="1" applyFill="1" applyProtection="1">
      <protection hidden="1"/>
    </xf>
    <xf numFmtId="175" fontId="5" fillId="3" borderId="0" xfId="7" applyNumberFormat="1" applyFont="1" applyFill="1" applyProtection="1">
      <protection locked="0"/>
    </xf>
    <xf numFmtId="0" fontId="1" fillId="0" borderId="0" xfId="7" applyFont="1" applyFill="1" applyAlignment="1" applyProtection="1">
      <alignment horizontal="right"/>
      <protection hidden="1"/>
    </xf>
    <xf numFmtId="0" fontId="1" fillId="0" borderId="0" xfId="7" applyFont="1" applyAlignment="1" applyProtection="1">
      <alignment horizontal="right"/>
      <protection hidden="1"/>
    </xf>
    <xf numFmtId="0" fontId="1" fillId="0" borderId="0" xfId="7" applyFont="1" applyFill="1" applyAlignment="1" applyProtection="1">
      <alignment horizontal="left"/>
      <protection hidden="1"/>
    </xf>
    <xf numFmtId="0" fontId="12" fillId="0" borderId="0" xfId="7" applyFont="1" applyAlignment="1" applyProtection="1">
      <alignment horizontal="left"/>
      <protection hidden="1"/>
    </xf>
    <xf numFmtId="0" fontId="1" fillId="0" borderId="0" xfId="7" applyFont="1" applyProtection="1">
      <protection hidden="1"/>
    </xf>
    <xf numFmtId="0" fontId="5" fillId="0" borderId="0" xfId="7" applyFont="1" applyFill="1" applyAlignment="1" applyProtection="1">
      <alignment horizontal="left"/>
      <protection hidden="1"/>
    </xf>
    <xf numFmtId="0" fontId="5" fillId="0" borderId="0" xfId="7" applyNumberFormat="1" applyFont="1" applyAlignment="1" applyProtection="1">
      <alignment horizontal="left"/>
      <protection hidden="1"/>
    </xf>
    <xf numFmtId="185" fontId="5" fillId="0" borderId="0" xfId="7" applyNumberFormat="1" applyFont="1" applyProtection="1">
      <protection hidden="1"/>
    </xf>
    <xf numFmtId="4" fontId="5" fillId="0" borderId="0" xfId="7" applyNumberFormat="1" applyFont="1" applyProtection="1">
      <protection hidden="1"/>
    </xf>
    <xf numFmtId="0" fontId="20" fillId="0" borderId="0" xfId="7" applyFont="1" applyFill="1" applyProtection="1">
      <protection hidden="1"/>
    </xf>
    <xf numFmtId="14" fontId="5" fillId="0" borderId="0" xfId="7" applyNumberFormat="1" applyFont="1" applyAlignment="1" applyProtection="1">
      <alignment horizontal="left"/>
      <protection hidden="1"/>
    </xf>
    <xf numFmtId="0" fontId="5" fillId="0" borderId="0" xfId="7" applyFont="1" applyAlignment="1" applyProtection="1">
      <alignment horizontal="left"/>
      <protection hidden="1"/>
    </xf>
    <xf numFmtId="0" fontId="2" fillId="2" borderId="0" xfId="11" applyNumberFormat="1" applyFont="1" applyFill="1" applyProtection="1">
      <protection locked="0"/>
    </xf>
    <xf numFmtId="181" fontId="13" fillId="2" borderId="0" xfId="11" applyNumberFormat="1" applyFont="1" applyFill="1" applyProtection="1">
      <protection locked="0"/>
    </xf>
    <xf numFmtId="14" fontId="2" fillId="3" borderId="0" xfId="11" applyNumberFormat="1" applyFont="1" applyFill="1" applyProtection="1">
      <protection locked="0"/>
    </xf>
    <xf numFmtId="181" fontId="10" fillId="5" borderId="0" xfId="11" applyNumberFormat="1" applyFont="1" applyFill="1" applyAlignment="1" applyProtection="1">
      <alignment horizontal="right"/>
      <protection hidden="1"/>
    </xf>
    <xf numFmtId="0" fontId="0" fillId="5" borderId="0" xfId="0" applyFill="1" applyProtection="1">
      <protection locked="0"/>
    </xf>
    <xf numFmtId="14" fontId="13" fillId="5" borderId="0" xfId="11" applyNumberFormat="1" applyFont="1" applyFill="1" applyProtection="1">
      <protection locked="0"/>
    </xf>
    <xf numFmtId="181" fontId="2" fillId="5" borderId="0" xfId="11" applyNumberFormat="1" applyFont="1" applyFill="1" applyAlignment="1" applyProtection="1">
      <alignment horizontal="right"/>
      <protection hidden="1"/>
    </xf>
    <xf numFmtId="0" fontId="1" fillId="5" borderId="0" xfId="0" applyFont="1" applyFill="1" applyAlignment="1" applyProtection="1">
      <alignment horizontal="center"/>
      <protection locked="0"/>
    </xf>
    <xf numFmtId="181" fontId="2" fillId="5" borderId="0" xfId="11" applyNumberFormat="1" applyFont="1" applyFill="1" applyAlignment="1" applyProtection="1">
      <alignment horizontal="center"/>
      <protection hidden="1"/>
    </xf>
    <xf numFmtId="2" fontId="9" fillId="0" borderId="0" xfId="11" applyNumberFormat="1" applyFont="1" applyAlignment="1" applyProtection="1">
      <alignment horizontal="left"/>
      <protection hidden="1"/>
    </xf>
    <xf numFmtId="2" fontId="23" fillId="0" borderId="0" xfId="11" applyNumberFormat="1" applyFont="1" applyAlignment="1" applyProtection="1">
      <alignment horizontal="left"/>
      <protection hidden="1"/>
    </xf>
    <xf numFmtId="0" fontId="9" fillId="0" borderId="0" xfId="7" applyNumberFormat="1" applyFont="1" applyFill="1" applyProtection="1">
      <protection hidden="1"/>
    </xf>
    <xf numFmtId="2" fontId="24" fillId="4" borderId="0" xfId="11" applyNumberFormat="1" applyFont="1" applyFill="1" applyAlignment="1" applyProtection="1">
      <alignment horizontal="left"/>
      <protection hidden="1"/>
    </xf>
    <xf numFmtId="187" fontId="2" fillId="0" borderId="0" xfId="11" applyNumberFormat="1" applyFont="1" applyProtection="1">
      <protection hidden="1"/>
    </xf>
    <xf numFmtId="187" fontId="2" fillId="0" borderId="0" xfId="11" applyNumberFormat="1" applyFont="1" applyProtection="1"/>
    <xf numFmtId="189" fontId="5" fillId="0" borderId="0" xfId="11" applyNumberFormat="1" applyFont="1" applyAlignment="1" applyProtection="1">
      <alignment vertical="center"/>
      <protection hidden="1"/>
    </xf>
    <xf numFmtId="175" fontId="2" fillId="3" borderId="0" xfId="11" applyNumberFormat="1" applyFont="1" applyFill="1" applyProtection="1">
      <protection locked="0"/>
    </xf>
    <xf numFmtId="0" fontId="6" fillId="0" borderId="0" xfId="5" applyNumberFormat="1" applyFont="1" applyAlignment="1" applyProtection="1">
      <alignment vertical="center"/>
      <protection hidden="1"/>
    </xf>
    <xf numFmtId="0" fontId="5" fillId="0" borderId="0" xfId="5" applyNumberFormat="1" applyFont="1" applyProtection="1">
      <protection hidden="1"/>
    </xf>
    <xf numFmtId="0" fontId="1" fillId="0" borderId="0" xfId="5" applyNumberFormat="1" applyFont="1" applyProtection="1">
      <protection hidden="1"/>
    </xf>
    <xf numFmtId="0" fontId="5" fillId="0" borderId="0" xfId="5" applyNumberFormat="1" applyFont="1" applyAlignment="1" applyProtection="1">
      <alignment horizontal="left"/>
      <protection hidden="1"/>
    </xf>
    <xf numFmtId="0" fontId="5" fillId="0" borderId="0" xfId="5" quotePrefix="1" applyNumberFormat="1" applyFont="1" applyProtection="1">
      <protection hidden="1"/>
    </xf>
    <xf numFmtId="0" fontId="2" fillId="0" borderId="0" xfId="5" quotePrefix="1" applyNumberFormat="1" applyFont="1" applyAlignment="1" applyProtection="1">
      <alignment horizontal="left"/>
      <protection hidden="1"/>
    </xf>
    <xf numFmtId="0" fontId="2" fillId="0" borderId="0" xfId="5" applyNumberFormat="1" applyFont="1" applyProtection="1">
      <protection hidden="1"/>
    </xf>
    <xf numFmtId="0" fontId="7" fillId="0" borderId="0" xfId="5" applyNumberFormat="1" applyFont="1" applyProtection="1">
      <protection hidden="1"/>
    </xf>
    <xf numFmtId="4" fontId="5" fillId="0" borderId="0" xfId="5" quotePrefix="1" applyNumberFormat="1" applyFont="1" applyProtection="1">
      <protection hidden="1"/>
    </xf>
    <xf numFmtId="4" fontId="5" fillId="0" borderId="0" xfId="5" applyNumberFormat="1" applyFont="1" applyProtection="1">
      <protection hidden="1"/>
    </xf>
    <xf numFmtId="0" fontId="0" fillId="0" borderId="0" xfId="0" applyProtection="1">
      <protection hidden="1"/>
    </xf>
    <xf numFmtId="0" fontId="5" fillId="0" borderId="0" xfId="5" quotePrefix="1" applyNumberFormat="1" applyFont="1" applyAlignment="1" applyProtection="1">
      <alignment horizontal="left"/>
      <protection hidden="1"/>
    </xf>
    <xf numFmtId="0" fontId="5" fillId="0" borderId="0" xfId="4" quotePrefix="1" applyFont="1" applyAlignment="1" applyProtection="1">
      <alignment horizontal="left"/>
      <protection hidden="1"/>
    </xf>
    <xf numFmtId="0" fontId="5" fillId="0" borderId="0" xfId="4" applyFont="1" applyProtection="1">
      <protection hidden="1"/>
    </xf>
    <xf numFmtId="0" fontId="10" fillId="0" borderId="0" xfId="4" applyFont="1" applyProtection="1">
      <protection hidden="1"/>
    </xf>
    <xf numFmtId="0" fontId="3" fillId="0" borderId="0" xfId="5" applyNumberFormat="1" applyFont="1" applyProtection="1">
      <protection hidden="1"/>
    </xf>
    <xf numFmtId="0" fontId="8" fillId="0" borderId="0" xfId="5" applyNumberFormat="1" applyFont="1" applyProtection="1">
      <protection hidden="1"/>
    </xf>
    <xf numFmtId="0" fontId="11" fillId="0" borderId="0" xfId="5" applyNumberFormat="1" applyFont="1" applyProtection="1">
      <protection hidden="1"/>
    </xf>
    <xf numFmtId="0" fontId="10" fillId="0" borderId="0" xfId="5" applyNumberFormat="1" applyFont="1" applyProtection="1">
      <protection hidden="1"/>
    </xf>
    <xf numFmtId="0" fontId="2" fillId="2" borderId="0" xfId="11" applyNumberFormat="1" applyFont="1" applyFill="1" applyAlignment="1" applyProtection="1">
      <protection hidden="1"/>
    </xf>
    <xf numFmtId="0" fontId="14" fillId="0" borderId="0" xfId="10" applyFont="1" applyAlignment="1" applyProtection="1">
      <alignment horizontal="left"/>
      <protection hidden="1"/>
    </xf>
    <xf numFmtId="0" fontId="0" fillId="0" borderId="0" xfId="0" applyProtection="1"/>
    <xf numFmtId="0" fontId="1" fillId="0" borderId="0" xfId="9" applyNumberFormat="1" applyFont="1" applyProtection="1">
      <protection locked="0"/>
    </xf>
    <xf numFmtId="14" fontId="11" fillId="0" borderId="0" xfId="11" applyNumberFormat="1" applyFont="1" applyAlignment="1" applyProtection="1">
      <alignment horizontal="left"/>
      <protection hidden="1"/>
    </xf>
    <xf numFmtId="4" fontId="11" fillId="0" borderId="0" xfId="11" applyNumberFormat="1" applyFont="1" applyAlignment="1" applyProtection="1">
      <alignment horizontal="right"/>
      <protection hidden="1"/>
    </xf>
    <xf numFmtId="0" fontId="12" fillId="0" borderId="0" xfId="11" applyNumberFormat="1" applyFont="1" applyAlignment="1" applyProtection="1">
      <alignment horizontal="left"/>
    </xf>
    <xf numFmtId="0" fontId="14" fillId="0" borderId="0" xfId="0" applyFont="1" applyProtection="1">
      <protection hidden="1"/>
    </xf>
    <xf numFmtId="14" fontId="10" fillId="3" borderId="0" xfId="6" applyNumberFormat="1" applyFont="1" applyFill="1" applyAlignment="1" applyProtection="1">
      <protection locked="0"/>
    </xf>
    <xf numFmtId="14" fontId="5" fillId="0" borderId="0" xfId="3" applyNumberFormat="1" applyFont="1" applyAlignment="1" applyProtection="1">
      <alignment horizontal="left"/>
      <protection hidden="1"/>
    </xf>
    <xf numFmtId="4" fontId="2" fillId="3" borderId="0" xfId="2" applyNumberFormat="1" applyFill="1" applyProtection="1">
      <protection locked="0"/>
    </xf>
    <xf numFmtId="187" fontId="2" fillId="3" borderId="0" xfId="11" applyNumberFormat="1" applyFont="1" applyFill="1" applyProtection="1">
      <protection locked="0"/>
    </xf>
    <xf numFmtId="187" fontId="2" fillId="3" borderId="0" xfId="2" applyNumberFormat="1" applyFill="1" applyProtection="1">
      <protection locked="0"/>
    </xf>
    <xf numFmtId="10" fontId="2" fillId="3" borderId="0" xfId="11" applyNumberFormat="1" applyFont="1" applyFill="1" applyAlignment="1" applyProtection="1">
      <alignment horizontal="center"/>
      <protection locked="0"/>
    </xf>
    <xf numFmtId="0" fontId="2" fillId="0" borderId="0" xfId="11" quotePrefix="1" applyNumberFormat="1" applyFont="1" applyProtection="1"/>
    <xf numFmtId="0" fontId="5" fillId="3" borderId="0" xfId="2" applyNumberFormat="1" applyFont="1" applyFill="1" applyProtection="1">
      <protection locked="0"/>
    </xf>
    <xf numFmtId="0" fontId="18" fillId="0" borderId="0" xfId="5" applyNumberFormat="1" applyFont="1" applyProtection="1">
      <protection hidden="1"/>
    </xf>
  </cellXfs>
  <cellStyles count="12">
    <cellStyle name="Dezimal_GewSt" xfId="1"/>
    <cellStyle name="Komma" xfId="2" builtinId="3"/>
    <cellStyle name="Standard" xfId="0" builtinId="0"/>
    <cellStyle name="Standard_Barwert" xfId="3"/>
    <cellStyle name="Standard_info" xfId="4"/>
    <cellStyle name="Standard_info_1" xfId="5"/>
    <cellStyle name="Standard_kalk" xfId="6"/>
    <cellStyle name="Standard_p.a." xfId="7"/>
    <cellStyle name="Standard_p.a._1" xfId="8"/>
    <cellStyle name="Standard_Sammelauswertung" xfId="9"/>
    <cellStyle name="Standard_Tabelle" xfId="10"/>
    <cellStyle name="Standard_Tilgungsplan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8</xdr:row>
      <xdr:rowOff>0</xdr:rowOff>
    </xdr:from>
    <xdr:to>
      <xdr:col>1</xdr:col>
      <xdr:colOff>838200</xdr:colOff>
      <xdr:row>11</xdr:row>
      <xdr:rowOff>175260</xdr:rowOff>
    </xdr:to>
    <xdr:sp macro="" textlink="A9">
      <xdr:nvSpPr>
        <xdr:cNvPr id="1985" name="Text 924"/>
        <xdr:cNvSpPr txBox="1">
          <a:spLocks noChangeArrowheads="1"/>
        </xdr:cNvSpPr>
      </xdr:nvSpPr>
      <xdr:spPr bwMode="auto">
        <a:xfrm>
          <a:off x="30480" y="1516380"/>
          <a:ext cx="807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fld id="{191A2E83-4597-42E3-9213-452EAE4DFF3C}" type="TxLink">
            <a:rPr lang="de-DE" sz="1100" b="0" i="0" u="none" strike="noStrike" baseline="0">
              <a:solidFill>
                <a:srgbClr val="000000"/>
              </a:solidFill>
              <a:latin typeface="Calibri"/>
            </a:rPr>
            <a:t> </a:t>
          </a:fld>
          <a:endParaRPr lang="de-DE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15</xdr:row>
      <xdr:rowOff>7376160</xdr:rowOff>
    </xdr:from>
    <xdr:to>
      <xdr:col>6</xdr:col>
      <xdr:colOff>0</xdr:colOff>
      <xdr:row>17</xdr:row>
      <xdr:rowOff>0</xdr:rowOff>
    </xdr:to>
    <xdr:sp macro="" textlink="G19">
      <xdr:nvSpPr>
        <xdr:cNvPr id="2049" name="Text 1"/>
        <xdr:cNvSpPr txBox="1">
          <a:spLocks noChangeArrowheads="1"/>
        </xdr:cNvSpPr>
      </xdr:nvSpPr>
      <xdr:spPr bwMode="auto">
        <a:xfrm>
          <a:off x="5623560" y="2910840"/>
          <a:ext cx="0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fld id="{6B129DED-12EE-4FE4-BEE5-64369201A5C7}" type="TxLink">
            <a:rPr lang="de-DE"/>
            <a:t> </a:t>
          </a:fld>
          <a:endParaRPr lang="de-DE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4"/>
  <sheetViews>
    <sheetView showGridLines="0" zoomScale="120" workbookViewId="0">
      <selection activeCell="A45" sqref="A45"/>
    </sheetView>
  </sheetViews>
  <sheetFormatPr baseColWidth="10" defaultColWidth="11" defaultRowHeight="13.8" x14ac:dyDescent="0.25"/>
  <cols>
    <col min="1" max="1" width="2.3984375" style="128" customWidth="1"/>
    <col min="2" max="2" width="2.5" style="128" customWidth="1"/>
    <col min="3" max="3" width="9.5" style="128" customWidth="1"/>
    <col min="4" max="7" width="11" style="128"/>
    <col min="8" max="8" width="25.59765625" style="128" customWidth="1"/>
    <col min="9" max="16384" width="11" style="128"/>
  </cols>
  <sheetData>
    <row r="1" spans="2:4" ht="27" customHeight="1" x14ac:dyDescent="0.25">
      <c r="B1" s="127" t="s">
        <v>0</v>
      </c>
    </row>
    <row r="2" spans="2:4" x14ac:dyDescent="0.25">
      <c r="B2" s="129" t="s">
        <v>1</v>
      </c>
    </row>
    <row r="3" spans="2:4" ht="20.100000000000001" customHeight="1" x14ac:dyDescent="0.25">
      <c r="B3" s="130" t="s">
        <v>2</v>
      </c>
    </row>
    <row r="4" spans="2:4" x14ac:dyDescent="0.25">
      <c r="B4" s="131" t="s">
        <v>3</v>
      </c>
      <c r="C4" s="128" t="s">
        <v>4</v>
      </c>
    </row>
    <row r="5" spans="2:4" x14ac:dyDescent="0.25">
      <c r="B5" s="131" t="s">
        <v>3</v>
      </c>
      <c r="C5" s="128" t="s">
        <v>5</v>
      </c>
    </row>
    <row r="6" spans="2:4" x14ac:dyDescent="0.25">
      <c r="B6" s="132" t="s">
        <v>3</v>
      </c>
      <c r="C6" s="133" t="s">
        <v>6</v>
      </c>
    </row>
    <row r="7" spans="2:4" x14ac:dyDescent="0.25">
      <c r="B7" s="131"/>
    </row>
    <row r="8" spans="2:4" ht="17.399999999999999" x14ac:dyDescent="0.3">
      <c r="B8" s="134" t="s">
        <v>5</v>
      </c>
    </row>
    <row r="9" spans="2:4" ht="20.100000000000001" customHeight="1" x14ac:dyDescent="0.25">
      <c r="B9" s="130" t="s">
        <v>7</v>
      </c>
    </row>
    <row r="10" spans="2:4" x14ac:dyDescent="0.25">
      <c r="B10" s="130" t="s">
        <v>59</v>
      </c>
    </row>
    <row r="11" spans="2:4" ht="22.2" customHeight="1" x14ac:dyDescent="0.25">
      <c r="B11" s="130" t="s">
        <v>8</v>
      </c>
    </row>
    <row r="12" spans="2:4" x14ac:dyDescent="0.25">
      <c r="B12" s="130" t="s">
        <v>9</v>
      </c>
    </row>
    <row r="13" spans="2:4" ht="20.100000000000001" customHeight="1" x14ac:dyDescent="0.25">
      <c r="B13" s="135" t="s">
        <v>3</v>
      </c>
      <c r="C13" s="136" t="s">
        <v>10</v>
      </c>
      <c r="D13" s="137" t="s">
        <v>11</v>
      </c>
    </row>
    <row r="14" spans="2:4" ht="20.100000000000001" customHeight="1" x14ac:dyDescent="0.25">
      <c r="B14" s="138" t="s">
        <v>3</v>
      </c>
      <c r="C14" s="128" t="s">
        <v>12</v>
      </c>
      <c r="D14" s="128" t="s">
        <v>13</v>
      </c>
    </row>
    <row r="15" spans="2:4" x14ac:dyDescent="0.25">
      <c r="B15" s="138"/>
      <c r="D15" s="128" t="s">
        <v>14</v>
      </c>
    </row>
    <row r="16" spans="2:4" x14ac:dyDescent="0.25">
      <c r="B16" s="138"/>
      <c r="D16" s="128" t="s">
        <v>15</v>
      </c>
    </row>
    <row r="17" spans="2:4" ht="20.100000000000001" customHeight="1" x14ac:dyDescent="0.25">
      <c r="B17" s="138" t="s">
        <v>3</v>
      </c>
      <c r="C17" s="128" t="s">
        <v>16</v>
      </c>
      <c r="D17" s="128" t="s">
        <v>17</v>
      </c>
    </row>
    <row r="18" spans="2:4" ht="20.100000000000001" customHeight="1" x14ac:dyDescent="0.25">
      <c r="B18" s="138" t="s">
        <v>3</v>
      </c>
      <c r="C18" s="128" t="s">
        <v>18</v>
      </c>
      <c r="D18" s="128" t="s">
        <v>19</v>
      </c>
    </row>
    <row r="19" spans="2:4" x14ac:dyDescent="0.25">
      <c r="B19" s="139"/>
      <c r="C19" s="140"/>
      <c r="D19" s="140" t="s">
        <v>20</v>
      </c>
    </row>
    <row r="20" spans="2:4" x14ac:dyDescent="0.25">
      <c r="B20" s="139"/>
      <c r="C20" s="140"/>
      <c r="D20" s="140" t="s">
        <v>21</v>
      </c>
    </row>
    <row r="21" spans="2:4" ht="20.100000000000001" customHeight="1" x14ac:dyDescent="0.25">
      <c r="B21" s="138" t="s">
        <v>3</v>
      </c>
      <c r="C21" s="128" t="s">
        <v>22</v>
      </c>
      <c r="D21" s="128" t="s">
        <v>23</v>
      </c>
    </row>
    <row r="22" spans="2:4" ht="20.100000000000001" customHeight="1" x14ac:dyDescent="0.25">
      <c r="B22" s="138" t="s">
        <v>3</v>
      </c>
      <c r="C22" s="128" t="s">
        <v>24</v>
      </c>
      <c r="D22" s="128" t="s">
        <v>25</v>
      </c>
    </row>
    <row r="23" spans="2:4" x14ac:dyDescent="0.25">
      <c r="D23" s="145" t="s">
        <v>26</v>
      </c>
    </row>
    <row r="24" spans="2:4" x14ac:dyDescent="0.25">
      <c r="B24" s="138"/>
      <c r="D24" s="128" t="s">
        <v>27</v>
      </c>
    </row>
    <row r="25" spans="2:4" ht="20.100000000000001" customHeight="1" x14ac:dyDescent="0.25">
      <c r="B25" s="138" t="s">
        <v>3</v>
      </c>
      <c r="C25" s="128" t="s">
        <v>28</v>
      </c>
      <c r="D25" s="128" t="s">
        <v>29</v>
      </c>
    </row>
    <row r="26" spans="2:4" x14ac:dyDescent="0.25">
      <c r="B26" s="138"/>
      <c r="D26" s="128" t="s">
        <v>30</v>
      </c>
    </row>
    <row r="27" spans="2:4" ht="20.100000000000001" customHeight="1" x14ac:dyDescent="0.25">
      <c r="B27" s="138" t="s">
        <v>3</v>
      </c>
      <c r="C27" s="128" t="s">
        <v>31</v>
      </c>
      <c r="D27" s="140" t="s">
        <v>32</v>
      </c>
    </row>
    <row r="28" spans="2:4" x14ac:dyDescent="0.25">
      <c r="D28" s="141" t="s">
        <v>33</v>
      </c>
    </row>
    <row r="29" spans="2:4" x14ac:dyDescent="0.25">
      <c r="D29" s="140" t="s">
        <v>34</v>
      </c>
    </row>
    <row r="30" spans="2:4" ht="20.100000000000001" customHeight="1" x14ac:dyDescent="0.25">
      <c r="D30" s="140" t="s">
        <v>35</v>
      </c>
    </row>
    <row r="31" spans="2:4" x14ac:dyDescent="0.25">
      <c r="D31" s="140" t="s">
        <v>36</v>
      </c>
    </row>
    <row r="32" spans="2:4" x14ac:dyDescent="0.25">
      <c r="D32" s="140" t="s">
        <v>37</v>
      </c>
    </row>
    <row r="33" spans="2:9" ht="20.100000000000001" customHeight="1" x14ac:dyDescent="0.25">
      <c r="B33" s="138" t="s">
        <v>3</v>
      </c>
      <c r="C33" s="128" t="s">
        <v>38</v>
      </c>
      <c r="D33" s="128" t="s">
        <v>39</v>
      </c>
    </row>
    <row r="34" spans="2:9" ht="20.100000000000001" customHeight="1" x14ac:dyDescent="0.25">
      <c r="B34" s="138" t="s">
        <v>3</v>
      </c>
      <c r="C34" s="128" t="s">
        <v>40</v>
      </c>
      <c r="D34" s="128" t="s">
        <v>41</v>
      </c>
    </row>
    <row r="35" spans="2:9" x14ac:dyDescent="0.25">
      <c r="D35" s="128" t="s">
        <v>42</v>
      </c>
    </row>
    <row r="36" spans="2:9" x14ac:dyDescent="0.25">
      <c r="D36" s="128" t="s">
        <v>43</v>
      </c>
    </row>
    <row r="37" spans="2:9" ht="20.100000000000001" customHeight="1" x14ac:dyDescent="0.25">
      <c r="D37" s="128" t="s">
        <v>44</v>
      </c>
    </row>
    <row r="38" spans="2:9" x14ac:dyDescent="0.25">
      <c r="D38" s="128" t="s">
        <v>45</v>
      </c>
    </row>
    <row r="39" spans="2:9" ht="20.100000000000001" customHeight="1" x14ac:dyDescent="0.25">
      <c r="B39" s="128" t="s">
        <v>3</v>
      </c>
      <c r="C39" s="128" t="s">
        <v>46</v>
      </c>
      <c r="D39" s="128" t="s">
        <v>47</v>
      </c>
    </row>
    <row r="40" spans="2:9" x14ac:dyDescent="0.25">
      <c r="D40" s="128" t="s">
        <v>48</v>
      </c>
    </row>
    <row r="41" spans="2:9" ht="21" customHeight="1" x14ac:dyDescent="0.3">
      <c r="B41" s="134" t="s">
        <v>49</v>
      </c>
      <c r="C41" s="142"/>
      <c r="E41" s="143"/>
    </row>
    <row r="42" spans="2:9" ht="19.95" customHeight="1" x14ac:dyDescent="0.25">
      <c r="B42" s="128" t="s">
        <v>50</v>
      </c>
    </row>
    <row r="43" spans="2:9" ht="19.95" customHeight="1" x14ac:dyDescent="0.25">
      <c r="B43" s="138" t="s">
        <v>3</v>
      </c>
      <c r="C43" s="128" t="s">
        <v>51</v>
      </c>
      <c r="D43" s="128" t="s">
        <v>52</v>
      </c>
    </row>
    <row r="44" spans="2:9" x14ac:dyDescent="0.25">
      <c r="D44" s="128" t="s">
        <v>53</v>
      </c>
    </row>
    <row r="45" spans="2:9" ht="15.75" customHeight="1" x14ac:dyDescent="0.25"/>
    <row r="46" spans="2:9" ht="17.399999999999999" x14ac:dyDescent="0.3">
      <c r="B46" s="134" t="s">
        <v>61</v>
      </c>
      <c r="I46" s="162"/>
    </row>
    <row r="47" spans="2:9" ht="20.100000000000001" customHeight="1" x14ac:dyDescent="0.25">
      <c r="B47" s="128" t="s">
        <v>3</v>
      </c>
      <c r="C47" s="128" t="s">
        <v>65</v>
      </c>
      <c r="I47" s="162"/>
    </row>
    <row r="48" spans="2:9" x14ac:dyDescent="0.25">
      <c r="B48" s="128" t="s">
        <v>3</v>
      </c>
      <c r="C48" s="128" t="s">
        <v>62</v>
      </c>
      <c r="I48" s="162"/>
    </row>
    <row r="49" spans="2:9" x14ac:dyDescent="0.25">
      <c r="C49" s="128" t="s">
        <v>63</v>
      </c>
      <c r="I49" s="162"/>
    </row>
    <row r="50" spans="2:9" x14ac:dyDescent="0.25">
      <c r="B50" s="128" t="s">
        <v>3</v>
      </c>
      <c r="C50" s="128" t="s">
        <v>64</v>
      </c>
      <c r="I50" s="162"/>
    </row>
    <row r="51" spans="2:9" x14ac:dyDescent="0.25">
      <c r="B51" s="128" t="s">
        <v>3</v>
      </c>
      <c r="C51" s="128" t="s">
        <v>66</v>
      </c>
    </row>
    <row r="52" spans="2:9" x14ac:dyDescent="0.25">
      <c r="I52" s="162"/>
    </row>
    <row r="53" spans="2:9" x14ac:dyDescent="0.25">
      <c r="B53" s="144" t="s">
        <v>54</v>
      </c>
    </row>
    <row r="54" spans="2:9" x14ac:dyDescent="0.25">
      <c r="B54" s="144" t="s">
        <v>55</v>
      </c>
    </row>
  </sheetData>
  <phoneticPr fontId="0" type="noConversion"/>
  <printOptions gridLinesSet="0"/>
  <pageMargins left="0.74" right="0.24" top="0.25" bottom="0.23" header="0.17" footer="0.24"/>
  <pageSetup paperSize="9" orientation="portrait" horizontalDpi="300" verticalDpi="300" r:id="rId1"/>
  <headerFooter alignWithMargins="0">
    <oddFooter>&amp;R&amp;"Arial,Standard"&amp;8WFTILG.XLS;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91"/>
  <sheetViews>
    <sheetView showGridLines="0" showZeros="0" tabSelected="1" showOutlineSymbols="0" topLeftCell="B1" zoomScale="120" workbookViewId="0">
      <selection activeCell="D5" sqref="D5"/>
    </sheetView>
  </sheetViews>
  <sheetFormatPr baseColWidth="10" defaultColWidth="11" defaultRowHeight="13.8" outlineLevelCol="1" x14ac:dyDescent="0.25"/>
  <cols>
    <col min="1" max="1" width="11.59765625" style="23" hidden="1" customWidth="1" outlineLevel="1"/>
    <col min="2" max="2" width="11.59765625" style="19" customWidth="1" collapsed="1"/>
    <col min="3" max="3" width="4.09765625" style="10" customWidth="1"/>
    <col min="4" max="7" width="14.59765625" style="10" customWidth="1"/>
    <col min="8" max="8" width="13.19921875" style="10" hidden="1" customWidth="1" outlineLevel="1"/>
    <col min="9" max="9" width="13.09765625" style="10" hidden="1" customWidth="1" outlineLevel="1"/>
    <col min="10" max="10" width="10.8984375" style="10" hidden="1" customWidth="1" outlineLevel="1"/>
    <col min="11" max="11" width="14.19921875" style="10" customWidth="1" collapsed="1"/>
    <col min="12" max="12" width="12.59765625" style="10" customWidth="1"/>
    <col min="13" max="246" width="11" style="10"/>
    <col min="247" max="247" width="0.69921875" style="10" customWidth="1"/>
    <col min="248" max="248" width="17.19921875" style="10" customWidth="1"/>
    <col min="249" max="16384" width="11" style="10"/>
  </cols>
  <sheetData>
    <row r="1" spans="1:24" x14ac:dyDescent="0.25">
      <c r="A1" s="1">
        <f>IF(B21&gt;0,DATE(YEAR(B21),MONTH(B21)-IF(OR(D13=0,D13&gt;2),12/D12,0),DAY(B21)),IF(AND(DAY(D15)=1,C15=1,A2&lt;&gt;1),D15-1,D15))</f>
        <v>42004</v>
      </c>
      <c r="B1" s="2"/>
      <c r="C1" s="3" t="str">
        <f>IF(AND(D22=0,ROUND(D17,2)=ROUND(F23,2),C17="1 g"),"vorschüssige (falsche) HP-Metode","")&amp;IF(OR(D12&lt;1,AND(D12&lt;&gt;360,MOD(12,D12)&lt;&gt;0)),"Für "&amp;D12&amp;" Verrechnungen p.a. das Datum zu programmieren, ist mir zu blöd !   (WF)","")</f>
        <v/>
      </c>
      <c r="D1" s="4"/>
      <c r="E1" s="4"/>
      <c r="F1" s="4"/>
      <c r="G1" s="5"/>
      <c r="H1" s="6" t="s">
        <v>56</v>
      </c>
      <c r="I1" s="7"/>
      <c r="J1" s="8"/>
      <c r="K1" s="9"/>
      <c r="L1" s="9"/>
      <c r="S1" s="11"/>
      <c r="V1" s="5"/>
      <c r="W1"/>
      <c r="X1" s="148"/>
    </row>
    <row r="2" spans="1:24" ht="17.399999999999999" x14ac:dyDescent="0.3">
      <c r="A2" s="12">
        <f>IF(OR(D13=1,D13=2),1,0)</f>
        <v>0</v>
      </c>
      <c r="B2" s="13" t="str">
        <f>IF(I8=1,"                  ","")&amp;IF(H8=D9,"",IF(B1="e","LOAN REPAYMENT SCHEDULE ","Tilgungsplan für ein "))&amp;IF(H8=D9,IF(B1="e","LOAN WITHOUT REPAYMENT","Blockdarlehen"),IF(B1="e","(ANNUITY)",  "Annuitätendarlehen"))</f>
        <v>Tilgungsplan für ein Annuitätendarlehen</v>
      </c>
      <c r="C2" s="4"/>
      <c r="D2" s="4"/>
      <c r="E2" s="4"/>
      <c r="F2" s="4"/>
      <c r="G2" s="4"/>
      <c r="H2" s="7">
        <f>IF(H7=0,G21,INDEX(G22:G499,H7))</f>
        <v>0</v>
      </c>
      <c r="I2" s="7"/>
      <c r="J2" s="8"/>
      <c r="K2"/>
      <c r="L2" s="9"/>
      <c r="V2" s="11"/>
      <c r="W2"/>
      <c r="X2" s="149"/>
    </row>
    <row r="3" spans="1:24" x14ac:dyDescent="0.25">
      <c r="A3" s="12">
        <f>IF(AND(DAY(D15)=1,C15=1,A2&lt;&gt;1,B21=0),10,0)</f>
        <v>10</v>
      </c>
      <c r="B3" s="146" t="str">
        <f>IF(I8=1,"                       ","")&amp;IF(A10=2,IF(B1="e","rounded","mit Rundungsausgleich"),"")</f>
        <v/>
      </c>
      <c r="C3" s="4"/>
      <c r="D3" s="4"/>
      <c r="E3" s="4"/>
      <c r="F3" s="4"/>
      <c r="G3" s="4"/>
      <c r="H3" s="10" t="e">
        <f>100*((1-H8/H2)*(D11/100)/(1-(1/(1+(D11/(100*D12))))^(D12*I16))+(H8/H2*D11/100))</f>
        <v>#DIV/0!</v>
      </c>
      <c r="I3" s="110">
        <f>(360/D12-C11)/360</f>
        <v>0.25</v>
      </c>
      <c r="J3" s="8"/>
      <c r="K3" s="14"/>
      <c r="L3" s="9"/>
      <c r="M3" s="160"/>
    </row>
    <row r="4" spans="1:24" ht="19.2" customHeight="1" x14ac:dyDescent="0.25">
      <c r="A4" s="15">
        <f>12/D12</f>
        <v>3</v>
      </c>
      <c r="B4" s="16"/>
      <c r="C4" s="17"/>
      <c r="D4" s="158"/>
      <c r="E4" s="31"/>
      <c r="F4" s="17"/>
      <c r="G4" s="17"/>
      <c r="H4" s="7" t="e">
        <f>ROUND(H3*H2/(100*D12),2)</f>
        <v>#DIV/0!</v>
      </c>
      <c r="I4" s="111">
        <f>ROUND((I3*12-ROUNDDOWN(ROUNDUP(I3,6)*12,0))/12*360,0)</f>
        <v>0</v>
      </c>
      <c r="J4" s="8"/>
      <c r="K4" s="29">
        <f>SUM(D22:INDEX(D22:D493,A5))</f>
        <v>3401927.8758092071</v>
      </c>
      <c r="L4" s="15" t="s">
        <v>57</v>
      </c>
    </row>
    <row r="5" spans="1:24" x14ac:dyDescent="0.25">
      <c r="A5" s="15">
        <f>ROUND(D12*A8,7)</f>
        <v>80</v>
      </c>
      <c r="B5" s="16"/>
      <c r="C5" s="17"/>
      <c r="D5" s="161"/>
      <c r="E5" s="159"/>
      <c r="F5" s="31"/>
      <c r="G5" s="17"/>
      <c r="H5" s="10" t="e">
        <f>H3/(1+(D11/(100*D12)))</f>
        <v>#DIV/0!</v>
      </c>
      <c r="I5" s="1">
        <f>IF(I3&lt;0,DATE(YEAR(D15),MONTH(D15)-INT(C11/30-12/D12),DAY(D15)-MOD(C11/30-12/D12,1)*30-IF(AND(MOD(C11/30,1)&gt;0,DAY(D15)=1),1,0)),DATE(YEAR(D15),MONTH(D15)+INT(ROUND(I3*12,6)),DAY(D15)+I4)-IF(AND(DAY(D15)=1,I4&lt;&gt;0),1,0))</f>
        <v>42095</v>
      </c>
      <c r="J5" s="8"/>
      <c r="K5" s="35">
        <f>SUM(E22:INDEX(E22:E493,A5))</f>
        <v>4400000.0000000224</v>
      </c>
      <c r="L5" s="15" t="str">
        <f>IF(K5=0,""," Tilgungen")</f>
        <v xml:space="preserve"> Tilgungen</v>
      </c>
    </row>
    <row r="6" spans="1:24" x14ac:dyDescent="0.25">
      <c r="A6" s="15">
        <f>D11/D12/100*IF(D13=1,D12/(D12+D11/100),1)</f>
        <v>1.3125E-2</v>
      </c>
      <c r="B6" s="45"/>
      <c r="C6" s="17"/>
      <c r="D6" s="158"/>
      <c r="E6" s="17"/>
      <c r="F6" s="112"/>
      <c r="G6" s="17"/>
      <c r="H6" s="7" t="e">
        <f>ROUND(H2*H5/(D12*100),2)</f>
        <v>#DIV/0!</v>
      </c>
      <c r="I6" s="7"/>
      <c r="J6" s="8"/>
      <c r="K6" s="29">
        <f>IF(K5=0,0,K4+K5)</f>
        <v>7801927.8758092299</v>
      </c>
      <c r="L6" s="15" t="str">
        <f>IF(K5=0,""," Annuitäten")</f>
        <v xml:space="preserve"> Annuitäten</v>
      </c>
    </row>
    <row r="7" spans="1:24" x14ac:dyDescent="0.25">
      <c r="A7" s="10">
        <f>A6*(D9-IF(D13=1,IF(OR(C22=J$12,AND(C22&gt;=J$11,C22&lt;=J$12)),0,IF(I22&gt;0,I22,H22)+J22),0))</f>
        <v>65625</v>
      </c>
      <c r="B7" s="16"/>
      <c r="C7" s="17"/>
      <c r="D7" s="17"/>
      <c r="E7" s="157"/>
      <c r="F7" s="17"/>
      <c r="G7" s="17"/>
      <c r="H7" s="12">
        <f>IF(J14=0,450,ROUND(I14*D12,6))</f>
        <v>450</v>
      </c>
      <c r="I7" s="12"/>
      <c r="J7" s="8"/>
      <c r="K7"/>
      <c r="L7" s="19"/>
    </row>
    <row r="8" spans="1:24" x14ac:dyDescent="0.25">
      <c r="A8" s="12">
        <f>D14/A12</f>
        <v>20</v>
      </c>
      <c r="B8" s="22" t="str">
        <f>IF(COUNTIF(K4:K9,"#WERT!")&lt;&gt;0,"Ein Zahlenfeld enthält evtll. TEXT oder Leerzeichen!",IF(ISTEXT(D15),"Der Darlehensbeginn ist Unsinn !",IF(MOD(A5,1)&lt;&gt;0,"Programm: wftilgbr.xls für gebrochene Annuitäten",IF(MAX(C22:C499)&gt;300,"maximal 300 "&amp;A13,""))))</f>
        <v/>
      </c>
      <c r="C8" s="5"/>
      <c r="D8"/>
      <c r="E8" s="23"/>
      <c r="F8" s="23"/>
      <c r="G8" s="24" t="str">
        <f>IF(ISERROR(H2),"",IF(AND(C17&gt;0,H8&gt;H2,H14&lt;&gt;A8),"Restwert nach Sondertilgung unter Darlehensrestwert !  ",""))</f>
        <v/>
      </c>
      <c r="H8" s="12">
        <f>IF(ABS(D10)&gt;100,D10,D9*D10/100)</f>
        <v>600000</v>
      </c>
      <c r="I8" s="12">
        <f>IF(OR(D15=0,D12&lt;1,AND(D12&lt;&gt;360,MOD(12,D12)&lt;&gt;0)),1,0)</f>
        <v>0</v>
      </c>
      <c r="J8" s="8">
        <f>INDEX(G22:G499,A5)-H8</f>
        <v>-2.3515895009040833E-8</v>
      </c>
      <c r="K8" s="25"/>
      <c r="L8" s="9"/>
    </row>
    <row r="9" spans="1:24" x14ac:dyDescent="0.25">
      <c r="A9" s="122" t="str">
        <f>IF(AND(C10=1,D13=1),"Rundungs- ausgleich nur nach- schüssig !","")</f>
        <v/>
      </c>
      <c r="B9"/>
      <c r="C9"/>
      <c r="D9" s="156">
        <v>5000000</v>
      </c>
      <c r="E9" s="15" t="str">
        <f>IF(B1="e","  amount of loan","  Darlehensbetrag")</f>
        <v xml:space="preserve">  Darlehensbetrag</v>
      </c>
      <c r="G9" s="26"/>
      <c r="H9" s="15">
        <f>100*((1-H8/D9)*(D11/100)/(1-(1/(1+(D11/(100*D12))))^(A5-D16))+(H8/D9*D11/100))</f>
        <v>7.867361923906885</v>
      </c>
      <c r="I9" s="43" t="str">
        <f>"B1:G"&amp;LOOKUP(2,1/(D1:D500&lt;&gt;""),ROW(1:500))</f>
        <v>B1:G103</v>
      </c>
      <c r="J9" s="8" t="s">
        <v>60</v>
      </c>
      <c r="K9" s="9"/>
      <c r="L9" s="9"/>
    </row>
    <row r="10" spans="1:24" x14ac:dyDescent="0.25">
      <c r="A10" s="12">
        <f>IF(D13=1,9,IF(C10=1,2,9))</f>
        <v>9</v>
      </c>
      <c r="B10" s="119"/>
      <c r="C10" s="30"/>
      <c r="D10" s="28">
        <v>12</v>
      </c>
      <c r="E10" s="15" t="str">
        <f>IF(D10=0,IF(B1="e","  declining balance","  Restwert"),IF(D10&lt;=100,IF(B1="e","  % declining balance = ","  % Restwert = "),IF(B1="e","  declining balance = ","  Restwert = "))&amp;IF(D10&lt;=100,TEXT(D9*D10/100,"#.##0,00"),ROUND(D10*100/D9,3)&amp;" %"))&amp;IF(A10=2,"  "&amp;IF(J8&gt;0.004,"+ ",IF(J8&lt;-0.004,"- ",""))&amp;TEXT(ABS(J8),"#0,00")&amp;IF(B1="e"," rounding"," Ausgleich"&amp;IF(D10&lt;=100,"","sbetrag")),"")</f>
        <v xml:space="preserve">  % Restwert = 600.000,00</v>
      </c>
      <c r="G10" s="11"/>
      <c r="H10" s="7">
        <f>ROUND(H9*D9/100/D12,2)</f>
        <v>98342.02</v>
      </c>
      <c r="I10" s="160"/>
      <c r="J10" s="8"/>
      <c r="K10"/>
      <c r="L10"/>
      <c r="O10" s="10" t="s">
        <v>67</v>
      </c>
    </row>
    <row r="11" spans="1:24" x14ac:dyDescent="0.25">
      <c r="A11" s="5"/>
      <c r="B11" s="119"/>
      <c r="C11" s="30"/>
      <c r="D11" s="31">
        <v>5.25</v>
      </c>
      <c r="E11" s="32" t="str">
        <f>IF(B1="e","  % interest rate p.a. ","  % Zins p.a. ")&amp;IF(OR(C11=0,C11=360/D12,ISTEXT(C11)),""," (1."&amp;A16&amp;IF(AND(C11&lt;&gt;0,C11&lt;360/D12,C11&gt;0.004),IF(B1="e",": only ",": nur "),": ")&amp;ROUND(C11,2)&amp;IF(C11=1,IF(B1="e"," day"," Tag"),IF(B1="e"," days"," Tage"))&amp;")")</f>
        <v xml:space="preserve">  % Zins p.a. </v>
      </c>
      <c r="F11" s="5"/>
      <c r="G11" s="33"/>
      <c r="H11" s="15">
        <f>H9/(1+(D11/(100*D12)))</f>
        <v>7.7654405171196883</v>
      </c>
      <c r="J11" s="34">
        <f>IF(OR(ISTEXT(VALUE(LEFT(J15,1))),J15&lt;=1000),1000,VALUE(LEFT(SUBSTITUTE(J15," ","     "),3)))</f>
        <v>1000</v>
      </c>
      <c r="K11" s="147" t="str">
        <f>IF(C11&lt;&gt;0,"Tage in C11 !","")</f>
        <v/>
      </c>
      <c r="L11"/>
    </row>
    <row r="12" spans="1:24" x14ac:dyDescent="0.25">
      <c r="A12" s="36">
        <f>IF(C14=0,1,C14)</f>
        <v>1</v>
      </c>
      <c r="D12" s="27">
        <v>4</v>
      </c>
      <c r="E12" s="15" t="str">
        <f>"  "&amp; IF(D12=1,IF(B1="e","annual payment","jährliche Verrechnung"),IF(D12=2,IF(B1="e","six-monthly payment","halbjährliche Verrechnung"),IF(D12=4,IF(B1="e","quarterly payment","vierteljährliche Verrechnung"),IF(D12=12,IF(B1="e","monthly payment","monatliche Verrechnung"),IF(D12=360,IF(B1="e","daily payment","tägliche Verrechnung"),D12&amp;IF(B1="e","  payments the year","  Verrechnungen p.a."))))))</f>
        <v xml:space="preserve">  vierteljährliche Verrechnung</v>
      </c>
      <c r="F12" s="5"/>
      <c r="G12" s="33"/>
      <c r="H12" s="7">
        <f>ROUND(D9*H11/(D12*100),2)</f>
        <v>97068.01</v>
      </c>
      <c r="I12" s="37"/>
      <c r="J12" s="34">
        <f>IF(OR(ISTEXT(J15),J14&lt;0),ABS(J14),1000)</f>
        <v>1000</v>
      </c>
      <c r="K12"/>
      <c r="L12"/>
      <c r="O12" s="10" t="s">
        <v>68</v>
      </c>
    </row>
    <row r="13" spans="1:24" x14ac:dyDescent="0.25">
      <c r="A13" s="12" t="str">
        <f>IF(D12=12,IF(B1="e"," months"," Monate"),IF(D12=4,IF(B1="e"," quarters"," Quartale"),IF(D12=2,IF(B1="e"," half-years"," Halbjahre"),IF(D12=1,IF(B1="e"," years"," Jahre"),IF(B1="e"," periods"," Teiljahre")))))</f>
        <v xml:space="preserve"> Quartale</v>
      </c>
      <c r="B13" s="38"/>
      <c r="C13" s="5"/>
      <c r="D13" s="39"/>
      <c r="E13" s="15" t="str">
        <f>IF(D13=1,IF(B1="e","  in advance","  vorschüssig"),IF(D13=2,IF(B1="e","  calculation in arrears (payment in advance)","  nachschüssige Kalkulation (vorschüssige Zahlung)"),IF(B1="e","  in arrears","  nachschüssig")))</f>
        <v xml:space="preserve">  nachschüssig</v>
      </c>
      <c r="F13" s="5"/>
      <c r="G13" s="40"/>
      <c r="H13" s="5"/>
      <c r="I13" s="37"/>
      <c r="J13" s="41"/>
      <c r="K13" s="9"/>
      <c r="L13" s="9"/>
    </row>
    <row r="14" spans="1:24" x14ac:dyDescent="0.25">
      <c r="A14" s="12" t="str">
        <f>"  "&amp;IF(A12=12,IF(B1="e","month","Monat"),IF(A12=360,IF(B1="e","day","Tag"),IF(A12=4,IF(B1="e","quarter","Quartal"),IF(A12=2,IF(B1="e","half-year","Halbjahr"),IF(A12=1,IF(B1="e","year","Jahr"),IF(B1="e"," period",A12&amp;"-tel Jahr"))))))&amp;IF(D14&lt;&gt;1,IF(B1="e","s","e"),"")</f>
        <v xml:space="preserve">  Jahre</v>
      </c>
      <c r="B14" s="3"/>
      <c r="C14" s="30">
        <v>1</v>
      </c>
      <c r="D14" s="31">
        <v>20</v>
      </c>
      <c r="E14" s="15" t="str">
        <f>A14&amp;IF(B1="e"," period  "," Laufzeit  ")&amp;IF(AND(D12=1,A12=1),"","("&amp;IF(A12&lt;&gt;1,ROUND(A8,4)&amp;IF(A8=1,IF(B1="e"," year)"," Jahr)"),IF(B1="e"," years)"," Jahre)")),ROUND(D12*A8,4)&amp;   A13&amp;")"))</f>
        <v xml:space="preserve">  Jahre Laufzeit  (80 Quartale)</v>
      </c>
      <c r="G14" s="11"/>
      <c r="H14" s="42">
        <f>ABS(J14/D12)</f>
        <v>0</v>
      </c>
      <c r="I14" s="43">
        <f>IF(H14=0,A8,H14)</f>
        <v>20</v>
      </c>
      <c r="J14" s="12">
        <f>IF(J15=0,0,ABS(VALUE(RIGHT(SUBSTITUTE(J15," ","     "),3))))*IF(D17=0,-1,1)</f>
        <v>0</v>
      </c>
      <c r="K14" s="44" t="str">
        <f>IF(I8=1,"","letzte Fälligkeit")</f>
        <v>letzte Fälligkeit</v>
      </c>
      <c r="L14" s="15"/>
    </row>
    <row r="15" spans="1:24" x14ac:dyDescent="0.25">
      <c r="A15" s="12" t="str">
        <f>IF(D12=360,IF(B1="e"," day"," Tag"),IF(D12=12,IF(B1="e"," month"," Monat"),IF(D12=4,IF(B1="e"," quarter"," Quartal"),IF(D12=2,IF(B1="e"," half-year"," Halbjahr"),IF(D12=1,IF(B1="e"," year"," Jahr"),IF(B1="e"," period"," Teiljahr"))))))&amp;IF(D16&lt;&gt;1,IF(B1="e","s","e"),"")</f>
        <v xml:space="preserve"> Quartale</v>
      </c>
      <c r="B15" s="5"/>
      <c r="C15" s="30">
        <v>1</v>
      </c>
      <c r="D15" s="154">
        <v>42005</v>
      </c>
      <c r="E15" s="46" t="str">
        <f>IF(B1="e","  start date of loan   ","  Darlehensbeginn   ")&amp;IF(OR(D15=0,C11=0,D15=I5,ISTEXT(C11)),"","("&amp;TEXT(I5,"TT.MM.JJJ")&amp;")")</f>
        <v xml:space="preserve">  Darlehensbeginn   </v>
      </c>
      <c r="F15" s="5"/>
      <c r="G15" s="5"/>
      <c r="H15" s="42"/>
      <c r="I15" s="43"/>
      <c r="J15" s="113">
        <f>IF(AND(D15&gt;0,J18&gt;0),J18,IF(J16=1,VALUE(LEFT(C17,FIND(" ",C17,1)-1)),C17))</f>
        <v>0</v>
      </c>
      <c r="K15" s="150" t="str">
        <f>TEXT(INDEX(B22:B493,A5),"TT.MM.JJJ")</f>
        <v>31.12.2034</v>
      </c>
      <c r="L15" s="48"/>
      <c r="M15" s="49"/>
    </row>
    <row r="16" spans="1:24" x14ac:dyDescent="0.25">
      <c r="A16" s="50" t="str">
        <f>IF(D12=360,IF(B1="e"," day"," Tag"),IF(D12=12,IF(B1="e"," month"," Monat"),IF(D12=4,IF(B1="e"," quarter"," Quartal"),IF(D12=2,IF(B1="e"," half-year"," Halbjahr"),IF(D12=1,IF(B1="e"," year"," Jahr"),IF(B1="e"," period"," Teiljahr"))))))</f>
        <v xml:space="preserve"> Quartal</v>
      </c>
      <c r="B16" s="3" t="str">
        <f>IF(MOD(D16,1)&lt;&gt;0,"gebrochen !","")</f>
        <v/>
      </c>
      <c r="C16"/>
      <c r="D16" s="20">
        <v>2</v>
      </c>
      <c r="E16" s="15" t="str">
        <f>IF(D16=0,""," "&amp;A15&amp;IF(B1="e"," of grace"," tilgungsfrei")&amp;IF(D12=1,"",IF(D16/D12=1,IF(B1="e","  (1 year)","  (1 Jahr)"),IF(D16/D12&gt;1,"  ("&amp;ROUND(D16/D12,3)&amp;IF(B1="e"," years)"," Jahre)"),"")))   )</f>
        <v xml:space="preserve">  Quartale tilgungsfrei</v>
      </c>
      <c r="F16" s="5"/>
      <c r="G16" s="51"/>
      <c r="H16" s="7">
        <f>IF(D13=1,H12,H10)</f>
        <v>98342.02</v>
      </c>
      <c r="I16" s="43">
        <f>A8-I14</f>
        <v>0</v>
      </c>
      <c r="J16" s="47">
        <f>IF(RIGHT(C17,1)="g",1,0)</f>
        <v>0</v>
      </c>
      <c r="K16"/>
      <c r="L16" s="48"/>
      <c r="M16" s="49"/>
    </row>
    <row r="17" spans="1:12" x14ac:dyDescent="0.25">
      <c r="A17" s="52" t="str">
        <f>IF(OR(AND(J14&lt;0,D17&lt;&gt;0),AND(J14=0,D17&lt;&gt;0),AND(J11&lt;1000,J11&lt;&gt;J12,D17&gt;0)),2,IF(AND(ISTEXT(J15),J12&lt;&gt;J11),"  grace period: "&amp;A13&amp;" "&amp;J11&amp;IF(J12-J11&gt;1," to "," and ")&amp;J12,IF(H14&gt;0,IF(J14&lt;0,"  grace period",IF(INDEX(E22:E499,H7)&lt;-1,"  bout of weakness"&amp;IF(J16=1," (total)",""),IF(OR(D17&lt;0,H19=1),"  less repayment"&amp;IF(J16=1," (total)",""),"  extra repaym."&amp;IF(J16=1," (total)"," (add.)"))))&amp;" the "&amp;ABS(J14)&amp;"."&amp;A16&amp;IF(B22&lt;&gt;""," at "&amp;TEXT(IF(J18&gt;0,I18,INDEX(B22:B498,H7)),"TT.MM.JJJ"),""),"")))</f>
        <v/>
      </c>
      <c r="B17" s="3" t="str">
        <f>IF(AND( J11&lt;1000,J11&gt;J12,I18&lt;1000),"andersrum",IF(J14=0,"",IF(J18=0,"zu früh",IF(H14&gt;A8,"zu spät !",IF(MOD(H7,1)&lt;&gt;0,"gebrochen",IF(AND(J18&gt;0,D15&gt;0,D17=0),"Betrag ?",""))))))</f>
        <v/>
      </c>
      <c r="C17" s="30"/>
      <c r="D17" s="18"/>
      <c r="E17" s="125" t="str">
        <f>IF(B1="e",A17,IF(OR(AND(J14&lt;0,D17&lt;&gt;0),AND(J14=0,D17&lt;&gt;0),AND(J11&lt;1000,J11&lt;&gt;J12,ABS(D17)&gt;0)),2,IF(AND(ISTEXT(J15),J12&lt;&gt;J11),"  Tilgungsaussetzung"&amp;A13&amp;" "&amp;J11&amp;IF(J12-J11&gt;1," bis "," und ")&amp;J12,IF(H14&gt;0,IF(J14&lt;0,"  Tilg.aussetzung",IF(INDEX(E22:E499,H7)&lt;-1,"  Schwächeanfall"&amp;IF(J16=1," (ges.)",""),IF(OR(D17&lt;0,H19=1),"  reduzierte Tilgung"&amp;IF(J16=1," (ges.)",""),"  Sondertilgung"&amp;IF(J16=1," (ges.)"," (add.)"))))&amp;" im "&amp;ABS(J14)&amp;"."&amp;A16&amp;IF(B22&lt;&gt;""," am "&amp;TEXT(IF(J18&gt;0,I18,INDEX(B22:B498,H7)),"TT.MM.JJJ"),""),""))))</f>
        <v/>
      </c>
      <c r="G17" s="11"/>
      <c r="H17" s="7" t="e">
        <f>IF(D13=1,H6,H4)</f>
        <v>#DIV/0!</v>
      </c>
      <c r="I17" s="8">
        <f>IF(H14=0,0,D17)</f>
        <v>0</v>
      </c>
      <c r="J17" s="117">
        <f>IF(OR(D13=1,D13=2,AND(DAY(D15)=1,C15=1)),1,0)</f>
        <v>1</v>
      </c>
      <c r="K17"/>
      <c r="L17" s="151" t="str">
        <f>IF(AND(J14&lt;0,J11=1000),"Betrag für Sondertilgung ?        ","")</f>
        <v/>
      </c>
    </row>
    <row r="18" spans="1:12" x14ac:dyDescent="0.25">
      <c r="A18" s="8">
        <f>IF(ABS(C11)&lt;0.005,0,D11/(360/C11)/100*IF(D13=1,(360/C11)/((360/C11)+D11/100)*(G21-E22),G21))</f>
        <v>0</v>
      </c>
      <c r="B18" s="3" t="str">
        <f>IF(OR(ISERROR(J12),ISERROR(J11)),"C17 z.B.: 5 8 (Zahl Leerzeichen Zahl) oder: 5 g (Zahl Leerzeichen g)",IF(AND(H14&gt;0,D16/D12&gt;=H14),"Die Sondertilgung / Tilgungsaussetzung darf nicht mit der tilgungsfreien Zeit kollidieren !",""))</f>
        <v/>
      </c>
      <c r="D18" s="5"/>
      <c r="E18" s="54"/>
      <c r="F18"/>
      <c r="G18" s="11"/>
      <c r="H18" s="5"/>
      <c r="I18" s="115">
        <f>IF(ISTEXT(C17),VALUE(LEFT(C17,FIND(" ",C17,1)-1)),C17)</f>
        <v>0</v>
      </c>
      <c r="J18" s="114">
        <f>ROUNDUP(D12*(360*(YEAR(I18)-YEAR(D15))+30*(MONTH(I18)-MONTH(D15))+IF(DAY(I18)&gt;DAY(I18+1),30,DAY(I18))-IF(DAY(D15)&gt;DAY(D15+1),30,DAY(D15))+J17)/360,0)</f>
        <v>-460</v>
      </c>
      <c r="K18"/>
      <c r="L18" s="55"/>
    </row>
    <row r="19" spans="1:12" ht="15" customHeight="1" x14ac:dyDescent="0.25">
      <c r="A19" s="43"/>
      <c r="B19" s="56" t="str">
        <f>IF(I8=1,"",IF(B1="e","due date","Fälligkeit"))</f>
        <v>Fälligkeit</v>
      </c>
      <c r="C19"/>
      <c r="D19" s="57" t="str">
        <f>A16&amp;"     "&amp;REPT(" ",16-LEN(A16)-IF(B1="e",6,0))&amp;IF(B1="e","interest ","Zins ")</f>
        <v xml:space="preserve"> Quartal             Zins </v>
      </c>
      <c r="E19" s="57" t="str">
        <f>IF(B1="e","repayment ","Tilgung ")</f>
        <v xml:space="preserve">Tilgung </v>
      </c>
      <c r="F19" s="57" t="str">
        <f>IF(B1="e","annuity rate","Annuität ")</f>
        <v xml:space="preserve">Annuität </v>
      </c>
      <c r="G19" s="57" t="str">
        <f>IF(B1="e","residual debt ","Restdarlehen ")</f>
        <v xml:space="preserve">Restdarlehen </v>
      </c>
      <c r="H19" s="12" t="e">
        <f>IF(AND(J16=1,D17&lt;INDEX(H22:H300,J15)),1,123)</f>
        <v>#VALUE!</v>
      </c>
      <c r="I19" s="58"/>
      <c r="J19" s="115">
        <f>INDEX(B22:B498,H7)</f>
        <v>0</v>
      </c>
      <c r="K19" s="53" t="str">
        <f>"Druckbereich = "&amp;I9</f>
        <v>Druckbereich = B1:G103</v>
      </c>
      <c r="L19" s="55"/>
    </row>
    <row r="20" spans="1:12" ht="20.25" customHeight="1" x14ac:dyDescent="0.3">
      <c r="A20" s="43"/>
      <c r="B20" s="153"/>
      <c r="C20" s="120"/>
      <c r="D20" s="15"/>
      <c r="E20" s="15"/>
      <c r="F20" s="59" t="str">
        <f>IF(D13=1,IF(B1="e","in advance","vorschüssig"),"")</f>
        <v/>
      </c>
      <c r="G20" s="15"/>
      <c r="I20" s="118">
        <f>IF(AND(A$10=2,J16=0),J20,0)</f>
        <v>0</v>
      </c>
      <c r="J20" s="116">
        <f>ROUND(IF(OR(D15=0,J18&lt;0),0,D17*D11*(360*(YEAR(J19)-YEAR(I18))+30*(MONTH(J19)-MONTH(I18))+IF(DAY(J19)&gt;DAY(J19+1),30,DAY(J19))-IF(DAY(I18)&gt;DAY(I18+1),30,DAY(I18)))/36000),2)</f>
        <v>0</v>
      </c>
      <c r="K20" s="33"/>
    </row>
    <row r="21" spans="1:12" x14ac:dyDescent="0.25">
      <c r="A21" s="21"/>
      <c r="B21" s="126"/>
      <c r="C21" s="60"/>
      <c r="D21" s="123"/>
      <c r="E21" s="123"/>
      <c r="F21" s="123"/>
      <c r="G21" s="123">
        <f>D9</f>
        <v>5000000</v>
      </c>
      <c r="K21" s="152" t="str">
        <f>IF(B21&gt;0,"Datum in B21 !","")</f>
        <v/>
      </c>
    </row>
    <row r="22" spans="1:12" x14ac:dyDescent="0.25">
      <c r="A22" s="62">
        <f t="shared" ref="A22:A85" si="0">DATE(YEAR(A$1),MONTH(A$1)+A$4*(C22-A$2),DAY(A$1))+A$3</f>
        <v>42104</v>
      </c>
      <c r="B22" s="155">
        <f>IF(OR($I$8=1,C22=""),"",IF(D$12=360,D15,IF(AND(C11&gt;0,A2=1),I5,IF(DAY(A22)&lt;DAY($A$1),A22-DAY(A22),A22))))</f>
        <v>42094</v>
      </c>
      <c r="C22" s="15">
        <v>1</v>
      </c>
      <c r="D22" s="123">
        <f>ROUND(IF(C11&lt;&gt;0,A18,A7)-IF(C22=H$7,J$20,0),A$10)</f>
        <v>65625</v>
      </c>
      <c r="E22" s="123">
        <f t="shared" ref="E22:E85" si="1">IF(C20=$A$5,K$5,IF(C22="","",IF(OR(C22=J$12,AND(C22&gt;=J$11,C22&lt;=J$12)),0,IF(A$10=2,F22-D22,IF(I22&gt;0,I22,H22)+J22))))</f>
        <v>0</v>
      </c>
      <c r="F22" s="123">
        <f>IF(C22="","",IF(OR(D16&gt;=C22,OR(C22=J$12,AND(C22&gt;=J$11,C22&lt;=J$12))),D22,IF(A$10=2,IF(I22&gt;0,H$17,H$16)+J22+D22-A7,D22+E22)))</f>
        <v>65625</v>
      </c>
      <c r="G22" s="123">
        <f>G21-E22</f>
        <v>5000000</v>
      </c>
      <c r="H22" s="15">
        <f>IF(C22&gt;$D$16,((($H$9-$D$11)/(100*$D$12))*((1+($D$11/(100*$D$12)))^(0-$D$16)))*$D$9,0)</f>
        <v>0</v>
      </c>
      <c r="I22" s="15">
        <f t="shared" ref="I22:I85" si="2">IF(C22&lt;=H$7,0,(((H$3-D$11)/(100*D$12))*((1+(D$11/(100*D$12)))^(C21-H$7)))*H$2)</f>
        <v>0</v>
      </c>
      <c r="J22" s="10">
        <f t="shared" ref="J22:J37" si="3">IF(C22=H$7,I$17-IF(J$16=1,H22,0)-IF(A$10=2,J$20,0),0)</f>
        <v>0</v>
      </c>
    </row>
    <row r="23" spans="1:12" x14ac:dyDescent="0.25">
      <c r="A23" s="61">
        <f t="shared" si="0"/>
        <v>42196</v>
      </c>
      <c r="B23" s="155">
        <f>IF(OR($I$8=1,C23=""),"",IF(D$12=360,B22+1,IF(DAY(A23)&lt;DAY($A$1),A23-DAY(A23),A23)))</f>
        <v>42185</v>
      </c>
      <c r="C23" s="15">
        <f t="shared" ref="C23:C54" si="4">IF(OR(C22&gt;=$A$5,C22=""),"",C22+1)</f>
        <v>2</v>
      </c>
      <c r="D23" s="123">
        <f t="shared" ref="D23:D86" si="5">IF(C21=A$5,K$4,IF(C23="","",ROUND((G22-IF(D$13=1,E23,0))*A$6-IF(C23=H$7,J$20,0),A$10)))</f>
        <v>65625</v>
      </c>
      <c r="E23" s="123">
        <f t="shared" si="1"/>
        <v>0</v>
      </c>
      <c r="F23" s="123">
        <f>IF(C23="","",IF(OR(D$16&gt;=C23,OR(C23=J$12,AND(C23&gt;=J$11,C23&lt;=J$12))),D23,IF(A$10=2,IF(I23&gt;0,H$17,H$16)+J23,D23+E23)))</f>
        <v>65625</v>
      </c>
      <c r="G23" s="123">
        <f t="shared" ref="G23:G54" si="6">IF(C23="","",G22-E23)</f>
        <v>5000000</v>
      </c>
      <c r="H23" s="15">
        <f t="shared" ref="H23:H86" si="7">IF(C23&gt;$D$16,((($H$9-$D$11)/(100*$D$12))*((1+($D$11/(100*$D$12)))^(C22-$D$16)))*$D$9,0)</f>
        <v>0</v>
      </c>
      <c r="I23" s="15">
        <f t="shared" si="2"/>
        <v>0</v>
      </c>
      <c r="J23" s="10">
        <f t="shared" si="3"/>
        <v>0</v>
      </c>
    </row>
    <row r="24" spans="1:12" x14ac:dyDescent="0.25">
      <c r="A24" s="61">
        <f t="shared" si="0"/>
        <v>42288</v>
      </c>
      <c r="B24" s="155">
        <f t="shared" ref="B24:B39" si="8">IF(OR($I$8=1,C24=""),"",IF(D$12=360,B23+1,IF(DAY(A24)&lt;DAY($A$1),A24-DAY(A24),A24)))</f>
        <v>42277</v>
      </c>
      <c r="C24" s="15">
        <f t="shared" si="4"/>
        <v>3</v>
      </c>
      <c r="D24" s="123">
        <f t="shared" si="5"/>
        <v>65625</v>
      </c>
      <c r="E24" s="123">
        <f t="shared" si="1"/>
        <v>32717.024048836061</v>
      </c>
      <c r="F24" s="123">
        <f t="shared" ref="F24:F39" si="9">IF(C24="","",IF(OR(D$16&gt;=C24,OR(C24=J$12,AND(C24&gt;=J$11,C24&lt;=J$12))),D24,IF(A$10=2,IF(I24&gt;0,H$17,H$16)+J24,D24+E24)))</f>
        <v>98342.024048836058</v>
      </c>
      <c r="G24" s="123">
        <f t="shared" si="6"/>
        <v>4967282.975951164</v>
      </c>
      <c r="H24" s="15">
        <f t="shared" si="7"/>
        <v>32717.024048836061</v>
      </c>
      <c r="I24" s="15">
        <f t="shared" si="2"/>
        <v>0</v>
      </c>
      <c r="J24" s="10">
        <f>IF(C24=H$7,I$17-IF(J$16=1,H24,0)-IF(A$10=2,J$20,0),0)</f>
        <v>0</v>
      </c>
    </row>
    <row r="25" spans="1:12" x14ac:dyDescent="0.25">
      <c r="A25" s="61">
        <f t="shared" si="0"/>
        <v>42379</v>
      </c>
      <c r="B25" s="155">
        <f t="shared" si="8"/>
        <v>42369</v>
      </c>
      <c r="C25" s="15">
        <f t="shared" si="4"/>
        <v>4</v>
      </c>
      <c r="D25" s="123">
        <f t="shared" si="5"/>
        <v>65195.589059359001</v>
      </c>
      <c r="E25" s="123">
        <f t="shared" si="1"/>
        <v>33146.434989477035</v>
      </c>
      <c r="F25" s="123">
        <f t="shared" si="9"/>
        <v>98342.024048836029</v>
      </c>
      <c r="G25" s="123">
        <f t="shared" si="6"/>
        <v>4934136.5409616875</v>
      </c>
      <c r="H25" s="15">
        <f t="shared" si="7"/>
        <v>33146.434989477035</v>
      </c>
      <c r="I25" s="15">
        <f t="shared" si="2"/>
        <v>0</v>
      </c>
      <c r="J25" s="10">
        <f t="shared" si="3"/>
        <v>0</v>
      </c>
    </row>
    <row r="26" spans="1:12" x14ac:dyDescent="0.25">
      <c r="A26" s="61">
        <f t="shared" si="0"/>
        <v>42470</v>
      </c>
      <c r="B26" s="155">
        <f t="shared" si="8"/>
        <v>42460</v>
      </c>
      <c r="C26" s="15">
        <f t="shared" si="4"/>
        <v>5</v>
      </c>
      <c r="D26" s="123">
        <f t="shared" si="5"/>
        <v>64760.542100122002</v>
      </c>
      <c r="E26" s="123">
        <f t="shared" si="1"/>
        <v>33581.481948713932</v>
      </c>
      <c r="F26" s="123">
        <f t="shared" si="9"/>
        <v>98342.024048835941</v>
      </c>
      <c r="G26" s="123">
        <f t="shared" si="6"/>
        <v>4900555.0590129737</v>
      </c>
      <c r="H26" s="15">
        <f t="shared" si="7"/>
        <v>33581.481948713932</v>
      </c>
      <c r="I26" s="15">
        <f t="shared" si="2"/>
        <v>0</v>
      </c>
      <c r="J26" s="10">
        <f t="shared" si="3"/>
        <v>0</v>
      </c>
    </row>
    <row r="27" spans="1:12" ht="15.6" x14ac:dyDescent="0.3">
      <c r="A27" s="61">
        <f t="shared" si="0"/>
        <v>42562</v>
      </c>
      <c r="B27" s="155">
        <f t="shared" si="8"/>
        <v>42551</v>
      </c>
      <c r="C27" s="63">
        <f t="shared" si="4"/>
        <v>6</v>
      </c>
      <c r="D27" s="123">
        <f t="shared" si="5"/>
        <v>64319.785149545001</v>
      </c>
      <c r="E27" s="123">
        <f t="shared" si="1"/>
        <v>34022.238899290802</v>
      </c>
      <c r="F27" s="123">
        <f t="shared" si="9"/>
        <v>98342.024048835796</v>
      </c>
      <c r="G27" s="123">
        <f t="shared" si="6"/>
        <v>4866532.8201136831</v>
      </c>
      <c r="H27" s="15">
        <f t="shared" si="7"/>
        <v>34022.238899290802</v>
      </c>
      <c r="I27" s="15">
        <f t="shared" si="2"/>
        <v>0</v>
      </c>
      <c r="J27" s="10">
        <f t="shared" si="3"/>
        <v>0</v>
      </c>
    </row>
    <row r="28" spans="1:12" x14ac:dyDescent="0.25">
      <c r="A28" s="61">
        <f t="shared" si="0"/>
        <v>42654</v>
      </c>
      <c r="B28" s="155">
        <f t="shared" si="8"/>
        <v>42643</v>
      </c>
      <c r="C28" s="15">
        <f t="shared" si="4"/>
        <v>7</v>
      </c>
      <c r="D28" s="123">
        <f t="shared" si="5"/>
        <v>63873.243263992001</v>
      </c>
      <c r="E28" s="123">
        <f t="shared" si="1"/>
        <v>34468.780784843999</v>
      </c>
      <c r="F28" s="123">
        <f t="shared" si="9"/>
        <v>98342.024048836</v>
      </c>
      <c r="G28" s="123">
        <f t="shared" si="6"/>
        <v>4832064.0393288387</v>
      </c>
      <c r="H28" s="15">
        <f t="shared" si="7"/>
        <v>34468.780784843999</v>
      </c>
      <c r="I28" s="15">
        <f t="shared" si="2"/>
        <v>0</v>
      </c>
      <c r="J28" s="10">
        <f t="shared" si="3"/>
        <v>0</v>
      </c>
    </row>
    <row r="29" spans="1:12" x14ac:dyDescent="0.25">
      <c r="A29" s="61">
        <f t="shared" si="0"/>
        <v>42745</v>
      </c>
      <c r="B29" s="155">
        <f t="shared" si="8"/>
        <v>42735</v>
      </c>
      <c r="C29" s="15">
        <f t="shared" si="4"/>
        <v>8</v>
      </c>
      <c r="D29" s="123">
        <f t="shared" si="5"/>
        <v>63420.840516190998</v>
      </c>
      <c r="E29" s="123">
        <f t="shared" si="1"/>
        <v>34921.183532645075</v>
      </c>
      <c r="F29" s="123">
        <f t="shared" si="9"/>
        <v>98342.024048836072</v>
      </c>
      <c r="G29" s="123">
        <f t="shared" si="6"/>
        <v>4797142.8557961937</v>
      </c>
      <c r="H29" s="15">
        <f t="shared" si="7"/>
        <v>34921.183532645075</v>
      </c>
      <c r="I29" s="15">
        <f t="shared" si="2"/>
        <v>0</v>
      </c>
      <c r="J29" s="10">
        <f t="shared" si="3"/>
        <v>0</v>
      </c>
    </row>
    <row r="30" spans="1:12" x14ac:dyDescent="0.25">
      <c r="A30" s="61">
        <f t="shared" si="0"/>
        <v>42835</v>
      </c>
      <c r="B30" s="155">
        <f t="shared" si="8"/>
        <v>42825</v>
      </c>
      <c r="C30" s="15">
        <f t="shared" si="4"/>
        <v>9</v>
      </c>
      <c r="D30" s="123">
        <f t="shared" si="5"/>
        <v>62962.499982324996</v>
      </c>
      <c r="E30" s="123">
        <f t="shared" si="1"/>
        <v>35379.524066511047</v>
      </c>
      <c r="F30" s="123">
        <f t="shared" si="9"/>
        <v>98342.024048836043</v>
      </c>
      <c r="G30" s="123">
        <f t="shared" si="6"/>
        <v>4761763.3317296831</v>
      </c>
      <c r="H30" s="15">
        <f t="shared" si="7"/>
        <v>35379.524066511047</v>
      </c>
      <c r="I30" s="15">
        <f t="shared" si="2"/>
        <v>0</v>
      </c>
      <c r="J30" s="10">
        <f t="shared" si="3"/>
        <v>0</v>
      </c>
    </row>
    <row r="31" spans="1:12" x14ac:dyDescent="0.25">
      <c r="A31" s="61">
        <f t="shared" si="0"/>
        <v>42927</v>
      </c>
      <c r="B31" s="155">
        <f t="shared" si="8"/>
        <v>42916</v>
      </c>
      <c r="C31" s="15">
        <f t="shared" si="4"/>
        <v>10</v>
      </c>
      <c r="D31" s="123">
        <f t="shared" si="5"/>
        <v>62498.143728952004</v>
      </c>
      <c r="E31" s="123">
        <f t="shared" si="1"/>
        <v>35843.880319884003</v>
      </c>
      <c r="F31" s="123">
        <f t="shared" si="9"/>
        <v>98342.024048836</v>
      </c>
      <c r="G31" s="123">
        <f t="shared" si="6"/>
        <v>4725919.451409799</v>
      </c>
      <c r="H31" s="15">
        <f t="shared" si="7"/>
        <v>35843.880319884003</v>
      </c>
      <c r="I31" s="15">
        <f t="shared" si="2"/>
        <v>0</v>
      </c>
      <c r="J31" s="10">
        <f t="shared" si="3"/>
        <v>0</v>
      </c>
    </row>
    <row r="32" spans="1:12" x14ac:dyDescent="0.25">
      <c r="A32" s="61">
        <f t="shared" si="0"/>
        <v>43019</v>
      </c>
      <c r="B32" s="155">
        <f t="shared" si="8"/>
        <v>43008</v>
      </c>
      <c r="C32" s="15">
        <f t="shared" si="4"/>
        <v>11</v>
      </c>
      <c r="D32" s="123">
        <f t="shared" si="5"/>
        <v>62027.692799753997</v>
      </c>
      <c r="E32" s="123">
        <f t="shared" si="1"/>
        <v>36314.331249082483</v>
      </c>
      <c r="F32" s="123">
        <f t="shared" si="9"/>
        <v>98342.02404883648</v>
      </c>
      <c r="G32" s="123">
        <f t="shared" si="6"/>
        <v>4689605.1201607166</v>
      </c>
      <c r="H32" s="15">
        <f t="shared" si="7"/>
        <v>36314.331249082483</v>
      </c>
      <c r="I32" s="15">
        <f t="shared" si="2"/>
        <v>0</v>
      </c>
      <c r="J32" s="10">
        <f t="shared" si="3"/>
        <v>0</v>
      </c>
    </row>
    <row r="33" spans="1:10" x14ac:dyDescent="0.25">
      <c r="A33" s="61">
        <f t="shared" si="0"/>
        <v>43110</v>
      </c>
      <c r="B33" s="155">
        <f t="shared" si="8"/>
        <v>43100</v>
      </c>
      <c r="C33" s="15">
        <f t="shared" si="4"/>
        <v>12</v>
      </c>
      <c r="D33" s="123">
        <f t="shared" si="5"/>
        <v>61551.067202108999</v>
      </c>
      <c r="E33" s="123">
        <f t="shared" si="1"/>
        <v>36790.956846726702</v>
      </c>
      <c r="F33" s="123">
        <f t="shared" si="9"/>
        <v>98342.024048835709</v>
      </c>
      <c r="G33" s="123">
        <f t="shared" si="6"/>
        <v>4652814.1633139895</v>
      </c>
      <c r="H33" s="15">
        <f t="shared" si="7"/>
        <v>36790.956846726702</v>
      </c>
      <c r="I33" s="15">
        <f t="shared" si="2"/>
        <v>0</v>
      </c>
      <c r="J33" s="10">
        <f t="shared" si="3"/>
        <v>0</v>
      </c>
    </row>
    <row r="34" spans="1:10" x14ac:dyDescent="0.25">
      <c r="A34" s="61">
        <f t="shared" si="0"/>
        <v>43200</v>
      </c>
      <c r="B34" s="155">
        <f t="shared" si="8"/>
        <v>43190</v>
      </c>
      <c r="C34" s="15">
        <f t="shared" si="4"/>
        <v>13</v>
      </c>
      <c r="D34" s="123">
        <f t="shared" si="5"/>
        <v>61068.185893495996</v>
      </c>
      <c r="E34" s="123">
        <f t="shared" si="1"/>
        <v>37273.838155339989</v>
      </c>
      <c r="F34" s="123">
        <f t="shared" si="9"/>
        <v>98342.024048835985</v>
      </c>
      <c r="G34" s="123">
        <f t="shared" si="6"/>
        <v>4615540.3251586491</v>
      </c>
      <c r="H34" s="15">
        <f t="shared" si="7"/>
        <v>37273.838155339989</v>
      </c>
      <c r="I34" s="15">
        <f t="shared" si="2"/>
        <v>0</v>
      </c>
      <c r="J34" s="10">
        <f t="shared" si="3"/>
        <v>0</v>
      </c>
    </row>
    <row r="35" spans="1:10" x14ac:dyDescent="0.25">
      <c r="A35" s="61">
        <f t="shared" si="0"/>
        <v>43292</v>
      </c>
      <c r="B35" s="155">
        <f t="shared" si="8"/>
        <v>43281</v>
      </c>
      <c r="C35" s="15">
        <f t="shared" si="4"/>
        <v>14</v>
      </c>
      <c r="D35" s="123">
        <f t="shared" si="5"/>
        <v>60578.966767707003</v>
      </c>
      <c r="E35" s="123">
        <f t="shared" si="1"/>
        <v>37763.057281128822</v>
      </c>
      <c r="F35" s="123">
        <f t="shared" si="9"/>
        <v>98342.024048835825</v>
      </c>
      <c r="G35" s="123">
        <f t="shared" si="6"/>
        <v>4577777.2678775201</v>
      </c>
      <c r="H35" s="15">
        <f t="shared" si="7"/>
        <v>37763.057281128822</v>
      </c>
      <c r="I35" s="15">
        <f t="shared" si="2"/>
        <v>0</v>
      </c>
      <c r="J35" s="10">
        <f t="shared" si="3"/>
        <v>0</v>
      </c>
    </row>
    <row r="36" spans="1:10" x14ac:dyDescent="0.25">
      <c r="A36" s="61">
        <f t="shared" si="0"/>
        <v>43384</v>
      </c>
      <c r="B36" s="155">
        <f t="shared" si="8"/>
        <v>43373</v>
      </c>
      <c r="C36" s="15">
        <f t="shared" si="4"/>
        <v>15</v>
      </c>
      <c r="D36" s="123">
        <f t="shared" si="5"/>
        <v>60083.326640892003</v>
      </c>
      <c r="E36" s="123">
        <f t="shared" si="1"/>
        <v>38258.697407943648</v>
      </c>
      <c r="F36" s="123">
        <f t="shared" si="9"/>
        <v>98342.02404883565</v>
      </c>
      <c r="G36" s="123">
        <f t="shared" si="6"/>
        <v>4539518.5704695769</v>
      </c>
      <c r="H36" s="15">
        <f t="shared" si="7"/>
        <v>38258.697407943648</v>
      </c>
      <c r="I36" s="15">
        <f t="shared" si="2"/>
        <v>0</v>
      </c>
      <c r="J36" s="10">
        <f t="shared" si="3"/>
        <v>0</v>
      </c>
    </row>
    <row r="37" spans="1:10" x14ac:dyDescent="0.25">
      <c r="A37" s="61">
        <f t="shared" si="0"/>
        <v>43475</v>
      </c>
      <c r="B37" s="155">
        <f t="shared" si="8"/>
        <v>43465</v>
      </c>
      <c r="C37" s="15">
        <f t="shared" si="4"/>
        <v>16</v>
      </c>
      <c r="D37" s="123">
        <f t="shared" si="5"/>
        <v>59581.181237413002</v>
      </c>
      <c r="E37" s="123">
        <f t="shared" si="1"/>
        <v>38760.84281142291</v>
      </c>
      <c r="F37" s="123">
        <f t="shared" si="9"/>
        <v>98342.024048835912</v>
      </c>
      <c r="G37" s="123">
        <f t="shared" si="6"/>
        <v>4500757.7276581535</v>
      </c>
      <c r="H37" s="15">
        <f t="shared" si="7"/>
        <v>38760.84281142291</v>
      </c>
      <c r="I37" s="15">
        <f t="shared" si="2"/>
        <v>0</v>
      </c>
      <c r="J37" s="10">
        <f t="shared" si="3"/>
        <v>0</v>
      </c>
    </row>
    <row r="38" spans="1:10" x14ac:dyDescent="0.25">
      <c r="A38" s="61">
        <f t="shared" si="0"/>
        <v>43565</v>
      </c>
      <c r="B38" s="155">
        <f t="shared" si="8"/>
        <v>43555</v>
      </c>
      <c r="C38" s="15">
        <f t="shared" si="4"/>
        <v>17</v>
      </c>
      <c r="D38" s="123">
        <f t="shared" si="5"/>
        <v>59072.445175512999</v>
      </c>
      <c r="E38" s="123">
        <f t="shared" si="1"/>
        <v>39269.57887332284</v>
      </c>
      <c r="F38" s="123">
        <f t="shared" si="9"/>
        <v>98342.024048835839</v>
      </c>
      <c r="G38" s="123">
        <f t="shared" si="6"/>
        <v>4461488.1487848302</v>
      </c>
      <c r="H38" s="15">
        <f t="shared" si="7"/>
        <v>39269.57887332284</v>
      </c>
      <c r="I38" s="15">
        <f t="shared" si="2"/>
        <v>0</v>
      </c>
      <c r="J38" s="10">
        <f t="shared" ref="J38:J53" si="10">IF(C38=H$7,I$17-IF(J$16=1,H38,0)-IF(A$10=2,J$20,0),0)</f>
        <v>0</v>
      </c>
    </row>
    <row r="39" spans="1:10" x14ac:dyDescent="0.25">
      <c r="A39" s="61">
        <f t="shared" si="0"/>
        <v>43657</v>
      </c>
      <c r="B39" s="155">
        <f t="shared" si="8"/>
        <v>43646</v>
      </c>
      <c r="C39" s="15">
        <f t="shared" si="4"/>
        <v>18</v>
      </c>
      <c r="D39" s="123">
        <f t="shared" si="5"/>
        <v>58557.031952801</v>
      </c>
      <c r="E39" s="123">
        <f t="shared" si="1"/>
        <v>39784.992096035203</v>
      </c>
      <c r="F39" s="123">
        <f t="shared" si="9"/>
        <v>98342.024048836203</v>
      </c>
      <c r="G39" s="123">
        <f t="shared" si="6"/>
        <v>4421703.1566887954</v>
      </c>
      <c r="H39" s="15">
        <f t="shared" si="7"/>
        <v>39784.992096035203</v>
      </c>
      <c r="I39" s="15">
        <f t="shared" si="2"/>
        <v>0</v>
      </c>
      <c r="J39" s="10">
        <f t="shared" si="10"/>
        <v>0</v>
      </c>
    </row>
    <row r="40" spans="1:10" x14ac:dyDescent="0.25">
      <c r="A40" s="61">
        <f t="shared" si="0"/>
        <v>43749</v>
      </c>
      <c r="B40" s="155">
        <f t="shared" ref="B40:B55" si="11">IF(OR($I$8=1,C40=""),"",IF(D$12=360,B39+1,IF(DAY(A40)&lt;DAY($A$1),A40-DAY(A40),A40)))</f>
        <v>43738</v>
      </c>
      <c r="C40" s="15">
        <f t="shared" si="4"/>
        <v>19</v>
      </c>
      <c r="D40" s="123">
        <f t="shared" si="5"/>
        <v>58034.853931539998</v>
      </c>
      <c r="E40" s="123">
        <f t="shared" si="1"/>
        <v>40307.170117295675</v>
      </c>
      <c r="F40" s="123">
        <f t="shared" ref="F40:F55" si="12">IF(C40="","",IF(OR(D$16&gt;=C40,OR(C40=J$12,AND(C40&gt;=J$11,C40&lt;=J$12))),D40,IF(A$10=2,IF(I40&gt;0,H$17,H$16)+J40,D40+E40)))</f>
        <v>98342.024048835679</v>
      </c>
      <c r="G40" s="123">
        <f t="shared" si="6"/>
        <v>4381395.9865715001</v>
      </c>
      <c r="H40" s="15">
        <f t="shared" si="7"/>
        <v>40307.170117295675</v>
      </c>
      <c r="I40" s="15">
        <f t="shared" si="2"/>
        <v>0</v>
      </c>
      <c r="J40" s="10">
        <f t="shared" si="10"/>
        <v>0</v>
      </c>
    </row>
    <row r="41" spans="1:10" x14ac:dyDescent="0.25">
      <c r="A41" s="61">
        <f t="shared" si="0"/>
        <v>43840</v>
      </c>
      <c r="B41" s="155">
        <f t="shared" si="11"/>
        <v>43830</v>
      </c>
      <c r="C41" s="15">
        <f t="shared" si="4"/>
        <v>20</v>
      </c>
      <c r="D41" s="123">
        <f t="shared" si="5"/>
        <v>57505.822323751003</v>
      </c>
      <c r="E41" s="123">
        <f t="shared" si="1"/>
        <v>40836.201725085186</v>
      </c>
      <c r="F41" s="123">
        <f t="shared" si="12"/>
        <v>98342.024048836189</v>
      </c>
      <c r="G41" s="123">
        <f t="shared" si="6"/>
        <v>4340559.7848464148</v>
      </c>
      <c r="H41" s="15">
        <f t="shared" si="7"/>
        <v>40836.201725085186</v>
      </c>
      <c r="I41" s="15">
        <f t="shared" si="2"/>
        <v>0</v>
      </c>
      <c r="J41" s="10">
        <f t="shared" si="10"/>
        <v>0</v>
      </c>
    </row>
    <row r="42" spans="1:10" x14ac:dyDescent="0.25">
      <c r="A42" s="61">
        <f t="shared" si="0"/>
        <v>43931</v>
      </c>
      <c r="B42" s="155">
        <f t="shared" si="11"/>
        <v>43921</v>
      </c>
      <c r="C42" s="15">
        <f t="shared" si="4"/>
        <v>21</v>
      </c>
      <c r="D42" s="123">
        <f t="shared" si="5"/>
        <v>56969.847176108997</v>
      </c>
      <c r="E42" s="123">
        <f t="shared" si="1"/>
        <v>41372.17687272693</v>
      </c>
      <c r="F42" s="123">
        <f t="shared" si="12"/>
        <v>98342.024048835927</v>
      </c>
      <c r="G42" s="123">
        <f t="shared" si="6"/>
        <v>4299187.6079736883</v>
      </c>
      <c r="H42" s="15">
        <f t="shared" si="7"/>
        <v>41372.17687272693</v>
      </c>
      <c r="I42" s="15">
        <f t="shared" si="2"/>
        <v>0</v>
      </c>
      <c r="J42" s="10">
        <f t="shared" si="10"/>
        <v>0</v>
      </c>
    </row>
    <row r="43" spans="1:10" x14ac:dyDescent="0.25">
      <c r="A43" s="61">
        <f t="shared" si="0"/>
        <v>44023</v>
      </c>
      <c r="B43" s="155">
        <f t="shared" si="11"/>
        <v>44012</v>
      </c>
      <c r="C43" s="15">
        <f t="shared" si="4"/>
        <v>22</v>
      </c>
      <c r="D43" s="123">
        <f t="shared" si="5"/>
        <v>56426.837354654999</v>
      </c>
      <c r="E43" s="123">
        <f t="shared" si="1"/>
        <v>41915.186694181466</v>
      </c>
      <c r="F43" s="123">
        <f t="shared" si="12"/>
        <v>98342.024048836465</v>
      </c>
      <c r="G43" s="123">
        <f t="shared" si="6"/>
        <v>4257272.4212795068</v>
      </c>
      <c r="H43" s="15">
        <f t="shared" si="7"/>
        <v>41915.186694181466</v>
      </c>
      <c r="I43" s="15">
        <f t="shared" si="2"/>
        <v>0</v>
      </c>
      <c r="J43" s="10">
        <f t="shared" si="10"/>
        <v>0</v>
      </c>
    </row>
    <row r="44" spans="1:10" x14ac:dyDescent="0.25">
      <c r="A44" s="61">
        <f t="shared" si="0"/>
        <v>44115</v>
      </c>
      <c r="B44" s="155">
        <f t="shared" si="11"/>
        <v>44104</v>
      </c>
      <c r="C44" s="15">
        <f t="shared" si="4"/>
        <v>23</v>
      </c>
      <c r="D44" s="123">
        <f t="shared" si="5"/>
        <v>55876.700529294001</v>
      </c>
      <c r="E44" s="123">
        <f t="shared" si="1"/>
        <v>42465.32351954261</v>
      </c>
      <c r="F44" s="123">
        <f t="shared" si="12"/>
        <v>98342.024048836611</v>
      </c>
      <c r="G44" s="123">
        <f t="shared" si="6"/>
        <v>4214807.0977599639</v>
      </c>
      <c r="H44" s="15">
        <f t="shared" si="7"/>
        <v>42465.32351954261</v>
      </c>
      <c r="I44" s="15">
        <f t="shared" si="2"/>
        <v>0</v>
      </c>
      <c r="J44" s="10">
        <f t="shared" si="10"/>
        <v>0</v>
      </c>
    </row>
    <row r="45" spans="1:10" x14ac:dyDescent="0.25">
      <c r="A45" s="61">
        <f t="shared" si="0"/>
        <v>44206</v>
      </c>
      <c r="B45" s="155">
        <f t="shared" si="11"/>
        <v>44196</v>
      </c>
      <c r="C45" s="15">
        <f t="shared" si="4"/>
        <v>24</v>
      </c>
      <c r="D45" s="123">
        <f t="shared" si="5"/>
        <v>55319.343158099997</v>
      </c>
      <c r="E45" s="123">
        <f t="shared" si="1"/>
        <v>43022.680890736607</v>
      </c>
      <c r="F45" s="123">
        <f t="shared" si="12"/>
        <v>98342.024048836611</v>
      </c>
      <c r="G45" s="123">
        <f t="shared" si="6"/>
        <v>4171784.4168692273</v>
      </c>
      <c r="H45" s="15">
        <f t="shared" si="7"/>
        <v>43022.680890736607</v>
      </c>
      <c r="I45" s="15">
        <f t="shared" si="2"/>
        <v>0</v>
      </c>
      <c r="J45" s="10">
        <f t="shared" si="10"/>
        <v>0</v>
      </c>
    </row>
    <row r="46" spans="1:10" x14ac:dyDescent="0.25">
      <c r="A46" s="61">
        <f t="shared" si="0"/>
        <v>44296</v>
      </c>
      <c r="B46" s="155">
        <f t="shared" si="11"/>
        <v>44286</v>
      </c>
      <c r="C46" s="15">
        <f t="shared" si="4"/>
        <v>25</v>
      </c>
      <c r="D46" s="123">
        <f t="shared" si="5"/>
        <v>54754.670471409001</v>
      </c>
      <c r="E46" s="123">
        <f t="shared" si="1"/>
        <v>43587.353577427537</v>
      </c>
      <c r="F46" s="123">
        <f t="shared" si="12"/>
        <v>98342.024048836538</v>
      </c>
      <c r="G46" s="123">
        <f t="shared" si="6"/>
        <v>4128197.0632917997</v>
      </c>
      <c r="H46" s="15">
        <f t="shared" si="7"/>
        <v>43587.353577427537</v>
      </c>
      <c r="I46" s="15">
        <f t="shared" si="2"/>
        <v>0</v>
      </c>
      <c r="J46" s="10">
        <f t="shared" si="10"/>
        <v>0</v>
      </c>
    </row>
    <row r="47" spans="1:10" x14ac:dyDescent="0.25">
      <c r="A47" s="61">
        <f t="shared" si="0"/>
        <v>44388</v>
      </c>
      <c r="B47" s="155">
        <f t="shared" si="11"/>
        <v>44377</v>
      </c>
      <c r="C47" s="15">
        <f t="shared" si="4"/>
        <v>26</v>
      </c>
      <c r="D47" s="123">
        <f t="shared" si="5"/>
        <v>54182.586455705001</v>
      </c>
      <c r="E47" s="123">
        <f t="shared" si="1"/>
        <v>44159.437593131268</v>
      </c>
      <c r="F47" s="123">
        <f t="shared" si="12"/>
        <v>98342.024048836261</v>
      </c>
      <c r="G47" s="123">
        <f t="shared" si="6"/>
        <v>4084037.6256986684</v>
      </c>
      <c r="H47" s="15">
        <f t="shared" si="7"/>
        <v>44159.437593131268</v>
      </c>
      <c r="I47" s="15">
        <f t="shared" si="2"/>
        <v>0</v>
      </c>
      <c r="J47" s="10">
        <f t="shared" si="10"/>
        <v>0</v>
      </c>
    </row>
    <row r="48" spans="1:10" x14ac:dyDescent="0.25">
      <c r="A48" s="61">
        <f t="shared" si="0"/>
        <v>44480</v>
      </c>
      <c r="B48" s="155">
        <f t="shared" si="11"/>
        <v>44469</v>
      </c>
      <c r="C48" s="15">
        <f t="shared" si="4"/>
        <v>27</v>
      </c>
      <c r="D48" s="123">
        <f t="shared" si="5"/>
        <v>53602.993837294998</v>
      </c>
      <c r="E48" s="123">
        <f t="shared" si="1"/>
        <v>44739.030211541125</v>
      </c>
      <c r="F48" s="123">
        <f t="shared" si="12"/>
        <v>98342.024048836116</v>
      </c>
      <c r="G48" s="123">
        <f t="shared" si="6"/>
        <v>4039298.5954871271</v>
      </c>
      <c r="H48" s="15">
        <f t="shared" si="7"/>
        <v>44739.030211541125</v>
      </c>
      <c r="I48" s="15">
        <f t="shared" si="2"/>
        <v>0</v>
      </c>
      <c r="J48" s="10">
        <f t="shared" si="10"/>
        <v>0</v>
      </c>
    </row>
    <row r="49" spans="1:10" x14ac:dyDescent="0.25">
      <c r="A49" s="61">
        <f t="shared" si="0"/>
        <v>44571</v>
      </c>
      <c r="B49" s="155">
        <f t="shared" si="11"/>
        <v>44561</v>
      </c>
      <c r="C49" s="15">
        <f t="shared" si="4"/>
        <v>28</v>
      </c>
      <c r="D49" s="123">
        <f t="shared" si="5"/>
        <v>53015.794065768998</v>
      </c>
      <c r="E49" s="123">
        <f t="shared" si="1"/>
        <v>45326.229983067606</v>
      </c>
      <c r="F49" s="123">
        <f t="shared" si="12"/>
        <v>98342.024048836611</v>
      </c>
      <c r="G49" s="123">
        <f t="shared" si="6"/>
        <v>3993972.3655040595</v>
      </c>
      <c r="H49" s="15">
        <f t="shared" si="7"/>
        <v>45326.229983067606</v>
      </c>
      <c r="I49" s="15">
        <f t="shared" si="2"/>
        <v>0</v>
      </c>
      <c r="J49" s="10">
        <f t="shared" si="10"/>
        <v>0</v>
      </c>
    </row>
    <row r="50" spans="1:10" x14ac:dyDescent="0.25">
      <c r="A50" s="61">
        <f t="shared" si="0"/>
        <v>44661</v>
      </c>
      <c r="B50" s="155">
        <f t="shared" si="11"/>
        <v>44651</v>
      </c>
      <c r="C50" s="15">
        <f t="shared" si="4"/>
        <v>29</v>
      </c>
      <c r="D50" s="123">
        <f t="shared" si="5"/>
        <v>52420.887297241003</v>
      </c>
      <c r="E50" s="123">
        <f t="shared" si="1"/>
        <v>45921.136751595368</v>
      </c>
      <c r="F50" s="123">
        <f t="shared" si="12"/>
        <v>98342.024048836378</v>
      </c>
      <c r="G50" s="123">
        <f t="shared" si="6"/>
        <v>3948051.2287524641</v>
      </c>
      <c r="H50" s="15">
        <f t="shared" si="7"/>
        <v>45921.136751595368</v>
      </c>
      <c r="I50" s="15">
        <f t="shared" si="2"/>
        <v>0</v>
      </c>
      <c r="J50" s="10">
        <f t="shared" si="10"/>
        <v>0</v>
      </c>
    </row>
    <row r="51" spans="1:10" x14ac:dyDescent="0.25">
      <c r="A51" s="61">
        <f t="shared" si="0"/>
        <v>44753</v>
      </c>
      <c r="B51" s="155">
        <f t="shared" si="11"/>
        <v>44742</v>
      </c>
      <c r="C51" s="15">
        <f t="shared" si="4"/>
        <v>30</v>
      </c>
      <c r="D51" s="123">
        <f t="shared" si="5"/>
        <v>51818.172377376002</v>
      </c>
      <c r="E51" s="123">
        <f t="shared" si="1"/>
        <v>46523.851671460056</v>
      </c>
      <c r="F51" s="123">
        <f t="shared" si="12"/>
        <v>98342.024048836058</v>
      </c>
      <c r="G51" s="123">
        <f t="shared" si="6"/>
        <v>3901527.377081004</v>
      </c>
      <c r="H51" s="15">
        <f t="shared" si="7"/>
        <v>46523.851671460056</v>
      </c>
      <c r="I51" s="15">
        <f t="shared" si="2"/>
        <v>0</v>
      </c>
      <c r="J51" s="10">
        <f t="shared" si="10"/>
        <v>0</v>
      </c>
    </row>
    <row r="52" spans="1:10" x14ac:dyDescent="0.25">
      <c r="A52" s="61">
        <f t="shared" si="0"/>
        <v>44845</v>
      </c>
      <c r="B52" s="155">
        <f t="shared" si="11"/>
        <v>44834</v>
      </c>
      <c r="C52" s="15">
        <f t="shared" si="4"/>
        <v>31</v>
      </c>
      <c r="D52" s="123">
        <f t="shared" si="5"/>
        <v>51207.546824188001</v>
      </c>
      <c r="E52" s="123">
        <f t="shared" si="1"/>
        <v>47134.477224647977</v>
      </c>
      <c r="F52" s="123">
        <f t="shared" si="12"/>
        <v>98342.02404883597</v>
      </c>
      <c r="G52" s="123">
        <f t="shared" si="6"/>
        <v>3854392.899856356</v>
      </c>
      <c r="H52" s="15">
        <f t="shared" si="7"/>
        <v>47134.477224647977</v>
      </c>
      <c r="I52" s="15">
        <f t="shared" si="2"/>
        <v>0</v>
      </c>
      <c r="J52" s="10">
        <f t="shared" si="10"/>
        <v>0</v>
      </c>
    </row>
    <row r="53" spans="1:10" x14ac:dyDescent="0.25">
      <c r="A53" s="61">
        <f t="shared" si="0"/>
        <v>44936</v>
      </c>
      <c r="B53" s="155">
        <f t="shared" si="11"/>
        <v>44926</v>
      </c>
      <c r="C53" s="15">
        <f t="shared" si="4"/>
        <v>32</v>
      </c>
      <c r="D53" s="123">
        <f t="shared" si="5"/>
        <v>50588.906810615001</v>
      </c>
      <c r="E53" s="123">
        <f t="shared" si="1"/>
        <v>47753.117238221501</v>
      </c>
      <c r="F53" s="123">
        <f t="shared" si="12"/>
        <v>98342.024048836494</v>
      </c>
      <c r="G53" s="123">
        <f t="shared" si="6"/>
        <v>3806639.7826181343</v>
      </c>
      <c r="H53" s="15">
        <f t="shared" si="7"/>
        <v>47753.117238221501</v>
      </c>
      <c r="I53" s="15">
        <f t="shared" si="2"/>
        <v>0</v>
      </c>
      <c r="J53" s="10">
        <f t="shared" si="10"/>
        <v>0</v>
      </c>
    </row>
    <row r="54" spans="1:10" x14ac:dyDescent="0.25">
      <c r="A54" s="61">
        <f t="shared" si="0"/>
        <v>45026</v>
      </c>
      <c r="B54" s="155">
        <f t="shared" si="11"/>
        <v>45016</v>
      </c>
      <c r="C54" s="15">
        <f t="shared" si="4"/>
        <v>33</v>
      </c>
      <c r="D54" s="123">
        <f t="shared" si="5"/>
        <v>49962.147146862997</v>
      </c>
      <c r="E54" s="123">
        <f t="shared" si="1"/>
        <v>48379.876901973155</v>
      </c>
      <c r="F54" s="123">
        <f t="shared" si="12"/>
        <v>98342.024048836145</v>
      </c>
      <c r="G54" s="123">
        <f t="shared" si="6"/>
        <v>3758259.9057161612</v>
      </c>
      <c r="H54" s="15">
        <f t="shared" si="7"/>
        <v>48379.876901973155</v>
      </c>
      <c r="I54" s="15">
        <f t="shared" si="2"/>
        <v>0</v>
      </c>
      <c r="J54" s="10">
        <f t="shared" ref="J54:J69" si="13">IF(C54=H$7,I$17-IF(J$16=1,H54,0)-IF(A$10=2,J$20,0),0)</f>
        <v>0</v>
      </c>
    </row>
    <row r="55" spans="1:10" x14ac:dyDescent="0.25">
      <c r="A55" s="61">
        <f t="shared" si="0"/>
        <v>45118</v>
      </c>
      <c r="B55" s="155">
        <f t="shared" si="11"/>
        <v>45107</v>
      </c>
      <c r="C55" s="15">
        <f t="shared" ref="C55:C86" si="14">IF(OR(C54&gt;=$A$5,C54=""),"",C54+1)</f>
        <v>34</v>
      </c>
      <c r="D55" s="123">
        <f t="shared" si="5"/>
        <v>49327.161262524998</v>
      </c>
      <c r="E55" s="123">
        <f t="shared" si="1"/>
        <v>49014.862786311547</v>
      </c>
      <c r="F55" s="123">
        <f t="shared" si="12"/>
        <v>98342.024048836553</v>
      </c>
      <c r="G55" s="123">
        <f t="shared" ref="G55:G86" si="15">IF(C55="","",G54-E55)</f>
        <v>3709245.0429298496</v>
      </c>
      <c r="H55" s="15">
        <f t="shared" si="7"/>
        <v>49014.862786311547</v>
      </c>
      <c r="I55" s="15">
        <f t="shared" si="2"/>
        <v>0</v>
      </c>
      <c r="J55" s="10">
        <f t="shared" si="13"/>
        <v>0</v>
      </c>
    </row>
    <row r="56" spans="1:10" x14ac:dyDescent="0.25">
      <c r="A56" s="61">
        <f t="shared" si="0"/>
        <v>45210</v>
      </c>
      <c r="B56" s="155">
        <f t="shared" ref="B56:B71" si="16">IF(OR($I$8=1,C56=""),"",IF(D$12=360,B55+1,IF(DAY(A56)&lt;DAY($A$1),A56-DAY(A56),A56)))</f>
        <v>45199</v>
      </c>
      <c r="C56" s="15">
        <f t="shared" si="14"/>
        <v>35</v>
      </c>
      <c r="D56" s="123">
        <f t="shared" si="5"/>
        <v>48683.841188453996</v>
      </c>
      <c r="E56" s="123">
        <f t="shared" si="1"/>
        <v>49658.182860381909</v>
      </c>
      <c r="F56" s="123">
        <f t="shared" ref="F56:F71" si="17">IF(C56="","",IF(OR(D$16&gt;=C56,OR(C56=J$12,AND(C56&gt;=J$11,C56&lt;=J$12))),D56,IF(A$10=2,IF(I56&gt;0,H$17,H$16)+J56,D56+E56)))</f>
        <v>98342.024048835912</v>
      </c>
      <c r="G56" s="123">
        <f t="shared" si="15"/>
        <v>3659586.8600694677</v>
      </c>
      <c r="H56" s="15">
        <f t="shared" si="7"/>
        <v>49658.182860381909</v>
      </c>
      <c r="I56" s="15">
        <f t="shared" si="2"/>
        <v>0</v>
      </c>
      <c r="J56" s="10">
        <f t="shared" si="13"/>
        <v>0</v>
      </c>
    </row>
    <row r="57" spans="1:10" x14ac:dyDescent="0.25">
      <c r="A57" s="61">
        <f t="shared" si="0"/>
        <v>45301</v>
      </c>
      <c r="B57" s="155">
        <f t="shared" si="16"/>
        <v>45291</v>
      </c>
      <c r="C57" s="15">
        <f t="shared" si="14"/>
        <v>36</v>
      </c>
      <c r="D57" s="123">
        <f t="shared" si="5"/>
        <v>48032.077538411999</v>
      </c>
      <c r="E57" s="123">
        <f t="shared" si="1"/>
        <v>50309.946510424423</v>
      </c>
      <c r="F57" s="123">
        <f t="shared" si="17"/>
        <v>98342.024048836422</v>
      </c>
      <c r="G57" s="123">
        <f t="shared" si="15"/>
        <v>3609276.9135590433</v>
      </c>
      <c r="H57" s="15">
        <f t="shared" si="7"/>
        <v>50309.946510424423</v>
      </c>
      <c r="I57" s="15">
        <f t="shared" si="2"/>
        <v>0</v>
      </c>
      <c r="J57" s="10">
        <f t="shared" si="13"/>
        <v>0</v>
      </c>
    </row>
    <row r="58" spans="1:10" x14ac:dyDescent="0.25">
      <c r="A58" s="61">
        <f t="shared" si="0"/>
        <v>45392</v>
      </c>
      <c r="B58" s="155">
        <f t="shared" si="16"/>
        <v>45382</v>
      </c>
      <c r="C58" s="15">
        <f t="shared" si="14"/>
        <v>37</v>
      </c>
      <c r="D58" s="123">
        <f t="shared" si="5"/>
        <v>47371.759490461998</v>
      </c>
      <c r="E58" s="123">
        <f t="shared" si="1"/>
        <v>50970.264558373747</v>
      </c>
      <c r="F58" s="123">
        <f t="shared" si="17"/>
        <v>98342.024048835738</v>
      </c>
      <c r="G58" s="123">
        <f t="shared" si="15"/>
        <v>3558306.6490006694</v>
      </c>
      <c r="H58" s="15">
        <f t="shared" si="7"/>
        <v>50970.264558373747</v>
      </c>
      <c r="I58" s="15">
        <f t="shared" si="2"/>
        <v>0</v>
      </c>
      <c r="J58" s="10">
        <f t="shared" si="13"/>
        <v>0</v>
      </c>
    </row>
    <row r="59" spans="1:10" x14ac:dyDescent="0.25">
      <c r="A59" s="61">
        <f t="shared" si="0"/>
        <v>45484</v>
      </c>
      <c r="B59" s="155">
        <f t="shared" si="16"/>
        <v>45473</v>
      </c>
      <c r="C59" s="15">
        <f t="shared" si="14"/>
        <v>38</v>
      </c>
      <c r="D59" s="123">
        <f t="shared" si="5"/>
        <v>46702.774768133997</v>
      </c>
      <c r="E59" s="123">
        <f t="shared" si="1"/>
        <v>51639.249280702395</v>
      </c>
      <c r="F59" s="123">
        <f t="shared" si="17"/>
        <v>98342.024048836392</v>
      </c>
      <c r="G59" s="123">
        <f t="shared" si="15"/>
        <v>3506667.399719967</v>
      </c>
      <c r="H59" s="15">
        <f t="shared" si="7"/>
        <v>51639.249280702395</v>
      </c>
      <c r="I59" s="15">
        <f t="shared" si="2"/>
        <v>0</v>
      </c>
      <c r="J59" s="10">
        <f t="shared" si="13"/>
        <v>0</v>
      </c>
    </row>
    <row r="60" spans="1:10" x14ac:dyDescent="0.25">
      <c r="A60" s="61">
        <f t="shared" si="0"/>
        <v>45576</v>
      </c>
      <c r="B60" s="155">
        <f t="shared" si="16"/>
        <v>45565</v>
      </c>
      <c r="C60" s="15">
        <f t="shared" si="14"/>
        <v>39</v>
      </c>
      <c r="D60" s="123">
        <f t="shared" si="5"/>
        <v>46025.009621325</v>
      </c>
      <c r="E60" s="123">
        <f t="shared" si="1"/>
        <v>52317.014427511633</v>
      </c>
      <c r="F60" s="123">
        <f t="shared" si="17"/>
        <v>98342.02404883664</v>
      </c>
      <c r="G60" s="123">
        <f t="shared" si="15"/>
        <v>3454350.3852924556</v>
      </c>
      <c r="H60" s="15">
        <f t="shared" si="7"/>
        <v>52317.014427511633</v>
      </c>
      <c r="I60" s="15">
        <f t="shared" si="2"/>
        <v>0</v>
      </c>
      <c r="J60" s="10">
        <f t="shared" si="13"/>
        <v>0</v>
      </c>
    </row>
    <row r="61" spans="1:10" x14ac:dyDescent="0.25">
      <c r="A61" s="61">
        <f t="shared" si="0"/>
        <v>45667</v>
      </c>
      <c r="B61" s="155">
        <f t="shared" si="16"/>
        <v>45657</v>
      </c>
      <c r="C61" s="15">
        <f t="shared" si="14"/>
        <v>40</v>
      </c>
      <c r="D61" s="123">
        <f t="shared" si="5"/>
        <v>45338.348806964001</v>
      </c>
      <c r="E61" s="123">
        <f t="shared" si="1"/>
        <v>53003.675241872719</v>
      </c>
      <c r="F61" s="123">
        <f t="shared" si="17"/>
        <v>98342.024048836727</v>
      </c>
      <c r="G61" s="123">
        <f t="shared" si="15"/>
        <v>3401346.7100505829</v>
      </c>
      <c r="H61" s="15">
        <f t="shared" si="7"/>
        <v>53003.675241872719</v>
      </c>
      <c r="I61" s="15">
        <f t="shared" si="2"/>
        <v>0</v>
      </c>
      <c r="J61" s="10">
        <f t="shared" si="13"/>
        <v>0</v>
      </c>
    </row>
    <row r="62" spans="1:10" x14ac:dyDescent="0.25">
      <c r="A62" s="61">
        <f t="shared" si="0"/>
        <v>45757</v>
      </c>
      <c r="B62" s="155">
        <f t="shared" si="16"/>
        <v>45747</v>
      </c>
      <c r="C62" s="15">
        <f t="shared" si="14"/>
        <v>41</v>
      </c>
      <c r="D62" s="123">
        <f t="shared" si="5"/>
        <v>44642.675569414001</v>
      </c>
      <c r="E62" s="123">
        <f t="shared" si="1"/>
        <v>53699.348479422311</v>
      </c>
      <c r="F62" s="123">
        <f t="shared" si="17"/>
        <v>98342.02404883632</v>
      </c>
      <c r="G62" s="123">
        <f t="shared" si="15"/>
        <v>3347647.3615711606</v>
      </c>
      <c r="H62" s="15">
        <f t="shared" si="7"/>
        <v>53699.348479422311</v>
      </c>
      <c r="I62" s="15">
        <f t="shared" si="2"/>
        <v>0</v>
      </c>
      <c r="J62" s="10">
        <f t="shared" si="13"/>
        <v>0</v>
      </c>
    </row>
    <row r="63" spans="1:10" x14ac:dyDescent="0.25">
      <c r="A63" s="61">
        <f t="shared" si="0"/>
        <v>45849</v>
      </c>
      <c r="B63" s="155">
        <f t="shared" si="16"/>
        <v>45838</v>
      </c>
      <c r="C63" s="15">
        <f t="shared" si="14"/>
        <v>42</v>
      </c>
      <c r="D63" s="123">
        <f t="shared" si="5"/>
        <v>43937.871620621998</v>
      </c>
      <c r="E63" s="123">
        <f t="shared" si="1"/>
        <v>54404.152428214729</v>
      </c>
      <c r="F63" s="123">
        <f t="shared" si="17"/>
        <v>98342.024048836727</v>
      </c>
      <c r="G63" s="123">
        <f t="shared" si="15"/>
        <v>3293243.2091429457</v>
      </c>
      <c r="H63" s="15">
        <f t="shared" si="7"/>
        <v>54404.152428214729</v>
      </c>
      <c r="I63" s="15">
        <f t="shared" si="2"/>
        <v>0</v>
      </c>
      <c r="J63" s="10">
        <f t="shared" si="13"/>
        <v>0</v>
      </c>
    </row>
    <row r="64" spans="1:10" x14ac:dyDescent="0.25">
      <c r="A64" s="61">
        <f t="shared" si="0"/>
        <v>45941</v>
      </c>
      <c r="B64" s="155">
        <f t="shared" si="16"/>
        <v>45930</v>
      </c>
      <c r="C64" s="15">
        <f t="shared" si="14"/>
        <v>43</v>
      </c>
      <c r="D64" s="123">
        <f t="shared" si="5"/>
        <v>43223.817120000997</v>
      </c>
      <c r="E64" s="123">
        <f t="shared" si="1"/>
        <v>55118.206928835054</v>
      </c>
      <c r="F64" s="123">
        <f t="shared" si="17"/>
        <v>98342.024048836058</v>
      </c>
      <c r="G64" s="123">
        <f t="shared" si="15"/>
        <v>3238125.0022141105</v>
      </c>
      <c r="H64" s="15">
        <f t="shared" si="7"/>
        <v>55118.206928835054</v>
      </c>
      <c r="I64" s="15">
        <f t="shared" si="2"/>
        <v>0</v>
      </c>
      <c r="J64" s="10">
        <f t="shared" si="13"/>
        <v>0</v>
      </c>
    </row>
    <row r="65" spans="1:10" x14ac:dyDescent="0.25">
      <c r="A65" s="61">
        <f t="shared" si="0"/>
        <v>46032</v>
      </c>
      <c r="B65" s="155">
        <f t="shared" si="16"/>
        <v>46022</v>
      </c>
      <c r="C65" s="15">
        <f t="shared" si="14"/>
        <v>44</v>
      </c>
      <c r="D65" s="123">
        <f t="shared" si="5"/>
        <v>42500.39065406</v>
      </c>
      <c r="E65" s="123">
        <f t="shared" si="1"/>
        <v>55841.633394776021</v>
      </c>
      <c r="F65" s="123">
        <f t="shared" si="17"/>
        <v>98342.024048836029</v>
      </c>
      <c r="G65" s="123">
        <f t="shared" si="15"/>
        <v>3182283.3688193345</v>
      </c>
      <c r="H65" s="15">
        <f t="shared" si="7"/>
        <v>55841.633394776021</v>
      </c>
      <c r="I65" s="15">
        <f t="shared" si="2"/>
        <v>0</v>
      </c>
      <c r="J65" s="10">
        <f t="shared" si="13"/>
        <v>0</v>
      </c>
    </row>
    <row r="66" spans="1:10" x14ac:dyDescent="0.25">
      <c r="A66" s="61">
        <f t="shared" si="0"/>
        <v>46122</v>
      </c>
      <c r="B66" s="155">
        <f t="shared" si="16"/>
        <v>46112</v>
      </c>
      <c r="C66" s="15">
        <f t="shared" si="14"/>
        <v>45</v>
      </c>
      <c r="D66" s="123">
        <f t="shared" si="5"/>
        <v>41767.469215753998</v>
      </c>
      <c r="E66" s="123">
        <f t="shared" si="1"/>
        <v>56574.55483308246</v>
      </c>
      <c r="F66" s="123">
        <f t="shared" si="17"/>
        <v>98342.024048836465</v>
      </c>
      <c r="G66" s="123">
        <f t="shared" si="15"/>
        <v>3125708.8139862521</v>
      </c>
      <c r="H66" s="15">
        <f t="shared" si="7"/>
        <v>56574.55483308246</v>
      </c>
      <c r="I66" s="15">
        <f t="shared" si="2"/>
        <v>0</v>
      </c>
      <c r="J66" s="10">
        <f t="shared" si="13"/>
        <v>0</v>
      </c>
    </row>
    <row r="67" spans="1:10" x14ac:dyDescent="0.25">
      <c r="A67" s="61">
        <f t="shared" si="0"/>
        <v>46214</v>
      </c>
      <c r="B67" s="155">
        <f t="shared" si="16"/>
        <v>46203</v>
      </c>
      <c r="C67" s="15">
        <f t="shared" si="14"/>
        <v>46</v>
      </c>
      <c r="D67" s="123">
        <f t="shared" si="5"/>
        <v>41024.928183570002</v>
      </c>
      <c r="E67" s="123">
        <f t="shared" si="1"/>
        <v>57317.095865266667</v>
      </c>
      <c r="F67" s="123">
        <f t="shared" si="17"/>
        <v>98342.024048836669</v>
      </c>
      <c r="G67" s="123">
        <f t="shared" si="15"/>
        <v>3068391.7181209852</v>
      </c>
      <c r="H67" s="15">
        <f t="shared" si="7"/>
        <v>57317.095865266667</v>
      </c>
      <c r="I67" s="15">
        <f t="shared" si="2"/>
        <v>0</v>
      </c>
      <c r="J67" s="10">
        <f t="shared" si="13"/>
        <v>0</v>
      </c>
    </row>
    <row r="68" spans="1:10" x14ac:dyDescent="0.25">
      <c r="A68" s="61">
        <f t="shared" si="0"/>
        <v>46306</v>
      </c>
      <c r="B68" s="155">
        <f t="shared" si="16"/>
        <v>46295</v>
      </c>
      <c r="C68" s="15">
        <f t="shared" si="14"/>
        <v>47</v>
      </c>
      <c r="D68" s="123">
        <f t="shared" si="5"/>
        <v>40272.641300338</v>
      </c>
      <c r="E68" s="123">
        <f t="shared" si="1"/>
        <v>58069.382748498305</v>
      </c>
      <c r="F68" s="123">
        <f t="shared" si="17"/>
        <v>98342.024048836305</v>
      </c>
      <c r="G68" s="123">
        <f t="shared" si="15"/>
        <v>3010322.3353724871</v>
      </c>
      <c r="H68" s="15">
        <f t="shared" si="7"/>
        <v>58069.382748498305</v>
      </c>
      <c r="I68" s="15">
        <f t="shared" si="2"/>
        <v>0</v>
      </c>
      <c r="J68" s="10">
        <f t="shared" si="13"/>
        <v>0</v>
      </c>
    </row>
    <row r="69" spans="1:10" x14ac:dyDescent="0.25">
      <c r="A69" s="61">
        <f t="shared" si="0"/>
        <v>46397</v>
      </c>
      <c r="B69" s="155">
        <f t="shared" si="16"/>
        <v>46387</v>
      </c>
      <c r="C69" s="15">
        <f t="shared" si="14"/>
        <v>48</v>
      </c>
      <c r="D69" s="123">
        <f t="shared" si="5"/>
        <v>39510.480651764003</v>
      </c>
      <c r="E69" s="123">
        <f t="shared" si="1"/>
        <v>58831.543397072346</v>
      </c>
      <c r="F69" s="123">
        <f t="shared" si="17"/>
        <v>98342.024048836349</v>
      </c>
      <c r="G69" s="123">
        <f t="shared" si="15"/>
        <v>2951490.7919754148</v>
      </c>
      <c r="H69" s="15">
        <f t="shared" si="7"/>
        <v>58831.543397072346</v>
      </c>
      <c r="I69" s="15">
        <f t="shared" si="2"/>
        <v>0</v>
      </c>
      <c r="J69" s="10">
        <f t="shared" si="13"/>
        <v>0</v>
      </c>
    </row>
    <row r="70" spans="1:10" x14ac:dyDescent="0.25">
      <c r="A70" s="61">
        <f t="shared" si="0"/>
        <v>46487</v>
      </c>
      <c r="B70" s="155">
        <f t="shared" si="16"/>
        <v>46477</v>
      </c>
      <c r="C70" s="15">
        <f t="shared" si="14"/>
        <v>49</v>
      </c>
      <c r="D70" s="123">
        <f t="shared" si="5"/>
        <v>38738.316644676997</v>
      </c>
      <c r="E70" s="123">
        <f t="shared" si="1"/>
        <v>59603.707404158929</v>
      </c>
      <c r="F70" s="123">
        <f t="shared" si="17"/>
        <v>98342.024048835927</v>
      </c>
      <c r="G70" s="123">
        <f t="shared" si="15"/>
        <v>2891887.0845712558</v>
      </c>
      <c r="H70" s="15">
        <f t="shared" si="7"/>
        <v>59603.707404158929</v>
      </c>
      <c r="I70" s="15">
        <f t="shared" si="2"/>
        <v>0</v>
      </c>
      <c r="J70" s="10">
        <f t="shared" ref="J70:J85" si="18">IF(C70=H$7,I$17-IF(J$16=1,H70,0)-IF(A$10=2,J$20,0),0)</f>
        <v>0</v>
      </c>
    </row>
    <row r="71" spans="1:10" x14ac:dyDescent="0.25">
      <c r="A71" s="61">
        <f t="shared" si="0"/>
        <v>46579</v>
      </c>
      <c r="B71" s="155">
        <f t="shared" si="16"/>
        <v>46568</v>
      </c>
      <c r="C71" s="15">
        <f t="shared" si="14"/>
        <v>50</v>
      </c>
      <c r="D71" s="123">
        <f t="shared" si="5"/>
        <v>37956.017984997998</v>
      </c>
      <c r="E71" s="123">
        <f t="shared" si="1"/>
        <v>60386.006063838511</v>
      </c>
      <c r="F71" s="123">
        <f t="shared" si="17"/>
        <v>98342.024048836509</v>
      </c>
      <c r="G71" s="123">
        <f t="shared" si="15"/>
        <v>2831501.0785074173</v>
      </c>
      <c r="H71" s="15">
        <f t="shared" si="7"/>
        <v>60386.006063838511</v>
      </c>
      <c r="I71" s="15">
        <f t="shared" si="2"/>
        <v>0</v>
      </c>
      <c r="J71" s="10">
        <f t="shared" si="18"/>
        <v>0</v>
      </c>
    </row>
    <row r="72" spans="1:10" x14ac:dyDescent="0.25">
      <c r="A72" s="61">
        <f t="shared" si="0"/>
        <v>46671</v>
      </c>
      <c r="B72" s="155">
        <f t="shared" ref="B72:B87" si="19">IF(OR($I$8=1,C72=""),"",IF(D$12=360,B71+1,IF(DAY(A72)&lt;DAY($A$1),A72-DAY(A72),A72)))</f>
        <v>46660</v>
      </c>
      <c r="C72" s="15">
        <f t="shared" si="14"/>
        <v>51</v>
      </c>
      <c r="D72" s="123">
        <f t="shared" si="5"/>
        <v>37163.451655409997</v>
      </c>
      <c r="E72" s="123">
        <f t="shared" si="1"/>
        <v>61178.57239342641</v>
      </c>
      <c r="F72" s="123">
        <f t="shared" ref="F72:F87" si="20">IF(C72="","",IF(OR(D$16&gt;=C72,OR(C72=J$12,AND(C72&gt;=J$11,C72&lt;=J$12))),D72,IF(A$10=2,IF(I72&gt;0,H$17,H$16)+J72,D72+E72)))</f>
        <v>98342.024048836407</v>
      </c>
      <c r="G72" s="123">
        <f t="shared" si="15"/>
        <v>2770322.5061139911</v>
      </c>
      <c r="H72" s="15">
        <f t="shared" si="7"/>
        <v>61178.57239342641</v>
      </c>
      <c r="I72" s="15">
        <f t="shared" si="2"/>
        <v>0</v>
      </c>
      <c r="J72" s="10">
        <f t="shared" si="18"/>
        <v>0</v>
      </c>
    </row>
    <row r="73" spans="1:10" x14ac:dyDescent="0.25">
      <c r="A73" s="61">
        <f t="shared" si="0"/>
        <v>46762</v>
      </c>
      <c r="B73" s="155">
        <f t="shared" si="19"/>
        <v>46752</v>
      </c>
      <c r="C73" s="15">
        <f t="shared" si="14"/>
        <v>52</v>
      </c>
      <c r="D73" s="123">
        <f t="shared" si="5"/>
        <v>36360.482892745997</v>
      </c>
      <c r="E73" s="123">
        <f t="shared" si="1"/>
        <v>61981.541156090134</v>
      </c>
      <c r="F73" s="123">
        <f t="shared" si="20"/>
        <v>98342.024048836131</v>
      </c>
      <c r="G73" s="123">
        <f t="shared" si="15"/>
        <v>2708340.9649579008</v>
      </c>
      <c r="H73" s="15">
        <f t="shared" si="7"/>
        <v>61981.541156090134</v>
      </c>
      <c r="I73" s="15">
        <f t="shared" si="2"/>
        <v>0</v>
      </c>
      <c r="J73" s="10">
        <f t="shared" si="18"/>
        <v>0</v>
      </c>
    </row>
    <row r="74" spans="1:10" x14ac:dyDescent="0.25">
      <c r="A74" s="61">
        <f t="shared" si="0"/>
        <v>46853</v>
      </c>
      <c r="B74" s="155">
        <f t="shared" si="19"/>
        <v>46843</v>
      </c>
      <c r="C74" s="15">
        <f t="shared" si="14"/>
        <v>53</v>
      </c>
      <c r="D74" s="123">
        <f t="shared" si="5"/>
        <v>35546.975165073003</v>
      </c>
      <c r="E74" s="123">
        <f t="shared" si="1"/>
        <v>62795.048883763826</v>
      </c>
      <c r="F74" s="123">
        <f t="shared" si="20"/>
        <v>98342.024048836829</v>
      </c>
      <c r="G74" s="123">
        <f t="shared" si="15"/>
        <v>2645545.9160741372</v>
      </c>
      <c r="H74" s="15">
        <f t="shared" si="7"/>
        <v>62795.048883763826</v>
      </c>
      <c r="I74" s="15">
        <f t="shared" si="2"/>
        <v>0</v>
      </c>
      <c r="J74" s="10">
        <f t="shared" si="18"/>
        <v>0</v>
      </c>
    </row>
    <row r="75" spans="1:10" x14ac:dyDescent="0.25">
      <c r="A75" s="61">
        <f t="shared" si="0"/>
        <v>46945</v>
      </c>
      <c r="B75" s="155">
        <f t="shared" si="19"/>
        <v>46934</v>
      </c>
      <c r="C75" s="15">
        <f t="shared" si="14"/>
        <v>54</v>
      </c>
      <c r="D75" s="123">
        <f t="shared" si="5"/>
        <v>34722.790148473003</v>
      </c>
      <c r="E75" s="123">
        <f t="shared" si="1"/>
        <v>63619.233900363222</v>
      </c>
      <c r="F75" s="123">
        <f t="shared" si="20"/>
        <v>98342.024048836232</v>
      </c>
      <c r="G75" s="123">
        <f t="shared" si="15"/>
        <v>2581926.6821737741</v>
      </c>
      <c r="H75" s="15">
        <f t="shared" si="7"/>
        <v>63619.233900363222</v>
      </c>
      <c r="I75" s="15">
        <f t="shared" si="2"/>
        <v>0</v>
      </c>
      <c r="J75" s="10">
        <f t="shared" si="18"/>
        <v>0</v>
      </c>
    </row>
    <row r="76" spans="1:10" x14ac:dyDescent="0.25">
      <c r="A76" s="61">
        <f t="shared" si="0"/>
        <v>47037</v>
      </c>
      <c r="B76" s="155">
        <f t="shared" si="19"/>
        <v>47026</v>
      </c>
      <c r="C76" s="15">
        <f t="shared" si="14"/>
        <v>55</v>
      </c>
      <c r="D76" s="123">
        <f t="shared" si="5"/>
        <v>33887.787703531001</v>
      </c>
      <c r="E76" s="123">
        <f t="shared" si="1"/>
        <v>64454.236345305508</v>
      </c>
      <c r="F76" s="123">
        <f t="shared" si="20"/>
        <v>98342.024048836509</v>
      </c>
      <c r="G76" s="123">
        <f t="shared" si="15"/>
        <v>2517472.4458284685</v>
      </c>
      <c r="H76" s="15">
        <f t="shared" si="7"/>
        <v>64454.236345305508</v>
      </c>
      <c r="I76" s="15">
        <f t="shared" si="2"/>
        <v>0</v>
      </c>
      <c r="J76" s="10">
        <f t="shared" si="18"/>
        <v>0</v>
      </c>
    </row>
    <row r="77" spans="1:10" x14ac:dyDescent="0.25">
      <c r="A77" s="61">
        <f t="shared" si="0"/>
        <v>47128</v>
      </c>
      <c r="B77" s="155">
        <f t="shared" si="19"/>
        <v>47118</v>
      </c>
      <c r="C77" s="15">
        <f t="shared" si="14"/>
        <v>56</v>
      </c>
      <c r="D77" s="123">
        <f t="shared" si="5"/>
        <v>33041.825851499001</v>
      </c>
      <c r="E77" s="123">
        <f t="shared" si="1"/>
        <v>65300.198197337631</v>
      </c>
      <c r="F77" s="123">
        <f t="shared" si="20"/>
        <v>98342.02404883664</v>
      </c>
      <c r="G77" s="123">
        <f t="shared" si="15"/>
        <v>2452172.2476311307</v>
      </c>
      <c r="H77" s="15">
        <f t="shared" si="7"/>
        <v>65300.198197337631</v>
      </c>
      <c r="I77" s="15">
        <f t="shared" si="2"/>
        <v>0</v>
      </c>
      <c r="J77" s="10">
        <f t="shared" si="18"/>
        <v>0</v>
      </c>
    </row>
    <row r="78" spans="1:10" x14ac:dyDescent="0.25">
      <c r="A78" s="61">
        <f t="shared" si="0"/>
        <v>47218</v>
      </c>
      <c r="B78" s="155">
        <f t="shared" si="19"/>
        <v>47208</v>
      </c>
      <c r="C78" s="15">
        <f t="shared" si="14"/>
        <v>57</v>
      </c>
      <c r="D78" s="123">
        <f t="shared" si="5"/>
        <v>32184.760750158999</v>
      </c>
      <c r="E78" s="123">
        <f t="shared" si="1"/>
        <v>66157.263298677717</v>
      </c>
      <c r="F78" s="123">
        <f t="shared" si="20"/>
        <v>98342.024048836713</v>
      </c>
      <c r="G78" s="123">
        <f t="shared" si="15"/>
        <v>2386014.984332453</v>
      </c>
      <c r="H78" s="15">
        <f t="shared" si="7"/>
        <v>66157.263298677717</v>
      </c>
      <c r="I78" s="15">
        <f t="shared" si="2"/>
        <v>0</v>
      </c>
      <c r="J78" s="10">
        <f t="shared" si="18"/>
        <v>0</v>
      </c>
    </row>
    <row r="79" spans="1:10" x14ac:dyDescent="0.25">
      <c r="A79" s="61">
        <f t="shared" si="0"/>
        <v>47310</v>
      </c>
      <c r="B79" s="155">
        <f t="shared" si="19"/>
        <v>47299</v>
      </c>
      <c r="C79" s="15">
        <f t="shared" si="14"/>
        <v>58</v>
      </c>
      <c r="D79" s="123">
        <f t="shared" si="5"/>
        <v>31316.446669362998</v>
      </c>
      <c r="E79" s="123">
        <f t="shared" si="1"/>
        <v>67025.57737947283</v>
      </c>
      <c r="F79" s="123">
        <f t="shared" si="20"/>
        <v>98342.024048835825</v>
      </c>
      <c r="G79" s="123">
        <f t="shared" si="15"/>
        <v>2318989.40695298</v>
      </c>
      <c r="H79" s="15">
        <f t="shared" si="7"/>
        <v>67025.57737947283</v>
      </c>
      <c r="I79" s="15">
        <f t="shared" si="2"/>
        <v>0</v>
      </c>
      <c r="J79" s="10">
        <f t="shared" si="18"/>
        <v>0</v>
      </c>
    </row>
    <row r="80" spans="1:10" x14ac:dyDescent="0.25">
      <c r="A80" s="61">
        <f t="shared" si="0"/>
        <v>47402</v>
      </c>
      <c r="B80" s="155">
        <f t="shared" si="19"/>
        <v>47391</v>
      </c>
      <c r="C80" s="15">
        <f t="shared" si="14"/>
        <v>59</v>
      </c>
      <c r="D80" s="123">
        <f t="shared" si="5"/>
        <v>30436.735966257998</v>
      </c>
      <c r="E80" s="123">
        <f t="shared" si="1"/>
        <v>67905.288082578452</v>
      </c>
      <c r="F80" s="123">
        <f t="shared" si="20"/>
        <v>98342.024048836451</v>
      </c>
      <c r="G80" s="123">
        <f t="shared" si="15"/>
        <v>2251084.1188704018</v>
      </c>
      <c r="H80" s="15">
        <f t="shared" si="7"/>
        <v>67905.288082578452</v>
      </c>
      <c r="I80" s="15">
        <f t="shared" si="2"/>
        <v>0</v>
      </c>
      <c r="J80" s="10">
        <f t="shared" si="18"/>
        <v>0</v>
      </c>
    </row>
    <row r="81" spans="1:10" x14ac:dyDescent="0.25">
      <c r="A81" s="61">
        <f t="shared" si="0"/>
        <v>47493</v>
      </c>
      <c r="B81" s="155">
        <f t="shared" si="19"/>
        <v>47483</v>
      </c>
      <c r="C81" s="15">
        <f t="shared" si="14"/>
        <v>60</v>
      </c>
      <c r="D81" s="123">
        <f t="shared" si="5"/>
        <v>29545.479060173999</v>
      </c>
      <c r="E81" s="123">
        <f t="shared" si="1"/>
        <v>68796.544988662296</v>
      </c>
      <c r="F81" s="123">
        <f t="shared" si="20"/>
        <v>98342.024048836291</v>
      </c>
      <c r="G81" s="123">
        <f t="shared" si="15"/>
        <v>2182287.5738817393</v>
      </c>
      <c r="H81" s="15">
        <f t="shared" si="7"/>
        <v>68796.544988662296</v>
      </c>
      <c r="I81" s="15">
        <f t="shared" si="2"/>
        <v>0</v>
      </c>
      <c r="J81" s="10">
        <f t="shared" si="18"/>
        <v>0</v>
      </c>
    </row>
    <row r="82" spans="1:10" x14ac:dyDescent="0.25">
      <c r="A82" s="61">
        <f t="shared" si="0"/>
        <v>47583</v>
      </c>
      <c r="B82" s="155">
        <f t="shared" si="19"/>
        <v>47573</v>
      </c>
      <c r="C82" s="15">
        <f t="shared" si="14"/>
        <v>61</v>
      </c>
      <c r="D82" s="123">
        <f t="shared" si="5"/>
        <v>28642.524407198001</v>
      </c>
      <c r="E82" s="123">
        <f t="shared" si="1"/>
        <v>69699.499641638497</v>
      </c>
      <c r="F82" s="123">
        <f t="shared" si="20"/>
        <v>98342.024048836494</v>
      </c>
      <c r="G82" s="123">
        <f t="shared" si="15"/>
        <v>2112588.0742401006</v>
      </c>
      <c r="H82" s="15">
        <f t="shared" si="7"/>
        <v>69699.499641638497</v>
      </c>
      <c r="I82" s="15">
        <f t="shared" si="2"/>
        <v>0</v>
      </c>
      <c r="J82" s="10">
        <f t="shared" si="18"/>
        <v>0</v>
      </c>
    </row>
    <row r="83" spans="1:10" x14ac:dyDescent="0.25">
      <c r="A83" s="61">
        <f t="shared" si="0"/>
        <v>47675</v>
      </c>
      <c r="B83" s="155">
        <f t="shared" si="19"/>
        <v>47664</v>
      </c>
      <c r="C83" s="15">
        <f t="shared" si="14"/>
        <v>62</v>
      </c>
      <c r="D83" s="123">
        <f t="shared" si="5"/>
        <v>27727.718474401001</v>
      </c>
      <c r="E83" s="123">
        <f t="shared" si="1"/>
        <v>70614.305574434984</v>
      </c>
      <c r="F83" s="123">
        <f t="shared" si="20"/>
        <v>98342.024048835985</v>
      </c>
      <c r="G83" s="123">
        <f t="shared" si="15"/>
        <v>2041973.7686656655</v>
      </c>
      <c r="H83" s="15">
        <f t="shared" si="7"/>
        <v>70614.305574434984</v>
      </c>
      <c r="I83" s="15">
        <f t="shared" si="2"/>
        <v>0</v>
      </c>
      <c r="J83" s="10">
        <f t="shared" si="18"/>
        <v>0</v>
      </c>
    </row>
    <row r="84" spans="1:10" x14ac:dyDescent="0.25">
      <c r="A84" s="61">
        <f t="shared" si="0"/>
        <v>47767</v>
      </c>
      <c r="B84" s="155">
        <f t="shared" si="19"/>
        <v>47756</v>
      </c>
      <c r="C84" s="15">
        <f t="shared" si="14"/>
        <v>63</v>
      </c>
      <c r="D84" s="123">
        <f t="shared" si="5"/>
        <v>26800.905713737</v>
      </c>
      <c r="E84" s="123">
        <f t="shared" si="1"/>
        <v>71541.118335099469</v>
      </c>
      <c r="F84" s="123">
        <f t="shared" si="20"/>
        <v>98342.024048836465</v>
      </c>
      <c r="G84" s="123">
        <f t="shared" si="15"/>
        <v>1970432.6503305661</v>
      </c>
      <c r="H84" s="15">
        <f t="shared" si="7"/>
        <v>71541.118335099469</v>
      </c>
      <c r="I84" s="15">
        <f t="shared" si="2"/>
        <v>0</v>
      </c>
      <c r="J84" s="10">
        <f t="shared" si="18"/>
        <v>0</v>
      </c>
    </row>
    <row r="85" spans="1:10" x14ac:dyDescent="0.25">
      <c r="A85" s="61">
        <f t="shared" si="0"/>
        <v>47858</v>
      </c>
      <c r="B85" s="155">
        <f t="shared" si="19"/>
        <v>47848</v>
      </c>
      <c r="C85" s="15">
        <f t="shared" si="14"/>
        <v>64</v>
      </c>
      <c r="D85" s="123">
        <f t="shared" si="5"/>
        <v>25861.928535588999</v>
      </c>
      <c r="E85" s="123">
        <f t="shared" si="1"/>
        <v>72480.095513247652</v>
      </c>
      <c r="F85" s="123">
        <f t="shared" si="20"/>
        <v>98342.024048836654</v>
      </c>
      <c r="G85" s="123">
        <f t="shared" si="15"/>
        <v>1897952.5548173185</v>
      </c>
      <c r="H85" s="15">
        <f t="shared" si="7"/>
        <v>72480.095513247652</v>
      </c>
      <c r="I85" s="15">
        <f t="shared" si="2"/>
        <v>0</v>
      </c>
      <c r="J85" s="10">
        <f t="shared" si="18"/>
        <v>0</v>
      </c>
    </row>
    <row r="86" spans="1:10" x14ac:dyDescent="0.25">
      <c r="A86" s="61">
        <f t="shared" ref="A86:A149" si="21">DATE(YEAR(A$1),MONTH(A$1)+A$4*(C86-A$2),DAY(A$1))+A$3</f>
        <v>47948</v>
      </c>
      <c r="B86" s="155">
        <f t="shared" si="19"/>
        <v>47938</v>
      </c>
      <c r="C86" s="15">
        <f t="shared" si="14"/>
        <v>65</v>
      </c>
      <c r="D86" s="123">
        <f t="shared" si="5"/>
        <v>24910.627281976998</v>
      </c>
      <c r="E86" s="123">
        <f t="shared" ref="E86:E149" si="22">IF(C84=$A$5,K$5,IF(C86="","",IF(OR(C86=J$12,AND(C86&gt;=J$11,C86&lt;=J$12)),0,IF(A$10=2,F86-D86,IF(I86&gt;0,I86,H86)+J86))))</f>
        <v>73431.396766859034</v>
      </c>
      <c r="F86" s="123">
        <f t="shared" si="20"/>
        <v>98342.024048836029</v>
      </c>
      <c r="G86" s="123">
        <f t="shared" si="15"/>
        <v>1824521.1580504593</v>
      </c>
      <c r="H86" s="15">
        <f t="shared" si="7"/>
        <v>73431.396766859034</v>
      </c>
      <c r="I86" s="15">
        <f t="shared" ref="I86:I149" si="23">IF(C86&lt;=H$7,0,(((H$3-D$11)/(100*D$12))*((1+(D$11/(100*D$12)))^(C85-H$7)))*H$2)</f>
        <v>0</v>
      </c>
      <c r="J86" s="10">
        <f t="shared" ref="J86:J101" si="24">IF(C86=H$7,I$17-IF(J$16=1,H86,0)-IF(A$10=2,J$20,0),0)</f>
        <v>0</v>
      </c>
    </row>
    <row r="87" spans="1:10" x14ac:dyDescent="0.25">
      <c r="A87" s="61">
        <f t="shared" si="21"/>
        <v>48040</v>
      </c>
      <c r="B87" s="155">
        <f t="shared" si="19"/>
        <v>48029</v>
      </c>
      <c r="C87" s="15">
        <f t="shared" ref="C87:C121" si="25">IF(OR(C86&gt;=$A$5,C86=""),"",C86+1)</f>
        <v>66</v>
      </c>
      <c r="D87" s="123">
        <f t="shared" ref="D87:D150" si="26">IF(C85=A$5,K$4,IF(C87="","",ROUND((G86-IF(D$13=1,E87,0))*A$6-IF(C87=H$7,J$20,0),A$10)))</f>
        <v>23946.840199411999</v>
      </c>
      <c r="E87" s="123">
        <f t="shared" si="22"/>
        <v>74395.183849424036</v>
      </c>
      <c r="F87" s="123">
        <f t="shared" si="20"/>
        <v>98342.024048836029</v>
      </c>
      <c r="G87" s="123">
        <f t="shared" ref="G87:G117" si="27">IF(C87="","",G86-E87)</f>
        <v>1750125.9742010352</v>
      </c>
      <c r="H87" s="15">
        <f t="shared" ref="H87:H150" si="28">IF(C87&gt;$D$16,((($H$9-$D$11)/(100*$D$12))*((1+($D$11/(100*$D$12)))^(C86-$D$16)))*$D$9,0)</f>
        <v>74395.183849424036</v>
      </c>
      <c r="I87" s="15">
        <f t="shared" si="23"/>
        <v>0</v>
      </c>
      <c r="J87" s="10">
        <f t="shared" si="24"/>
        <v>0</v>
      </c>
    </row>
    <row r="88" spans="1:10" x14ac:dyDescent="0.25">
      <c r="A88" s="61">
        <f t="shared" si="21"/>
        <v>48132</v>
      </c>
      <c r="B88" s="155">
        <f t="shared" ref="B88:B103" si="29">IF(OR($I$8=1,C88=""),"",IF(D$12=360,B87+1,IF(DAY(A88)&lt;DAY($A$1),A88-DAY(A88),A88)))</f>
        <v>48121</v>
      </c>
      <c r="C88" s="15">
        <f t="shared" si="25"/>
        <v>67</v>
      </c>
      <c r="D88" s="123">
        <f t="shared" si="26"/>
        <v>22970.403411389001</v>
      </c>
      <c r="E88" s="123">
        <f t="shared" si="22"/>
        <v>75371.620637447777</v>
      </c>
      <c r="F88" s="123">
        <f t="shared" ref="F88:F103" si="30">IF(C88="","",IF(OR(D$16&gt;=C88,OR(C88=J$12,AND(C88&gt;=J$11,C88&lt;=J$12))),D88,IF(A$10=2,IF(I88&gt;0,H$17,H$16)+J88,D88+E88)))</f>
        <v>98342.024048836785</v>
      </c>
      <c r="G88" s="123">
        <f t="shared" si="27"/>
        <v>1674754.3535635874</v>
      </c>
      <c r="H88" s="15">
        <f t="shared" si="28"/>
        <v>75371.620637447777</v>
      </c>
      <c r="I88" s="15">
        <f t="shared" si="23"/>
        <v>0</v>
      </c>
      <c r="J88" s="10">
        <f t="shared" si="24"/>
        <v>0</v>
      </c>
    </row>
    <row r="89" spans="1:10" x14ac:dyDescent="0.25">
      <c r="A89" s="61">
        <f t="shared" si="21"/>
        <v>48223</v>
      </c>
      <c r="B89" s="155">
        <f t="shared" si="29"/>
        <v>48213</v>
      </c>
      <c r="C89" s="15">
        <f t="shared" si="25"/>
        <v>68</v>
      </c>
      <c r="D89" s="123">
        <f t="shared" si="26"/>
        <v>21981.150890522</v>
      </c>
      <c r="E89" s="123">
        <f t="shared" si="22"/>
        <v>76360.87315831428</v>
      </c>
      <c r="F89" s="123">
        <f t="shared" si="30"/>
        <v>98342.024048836276</v>
      </c>
      <c r="G89" s="123">
        <f t="shared" si="27"/>
        <v>1598393.4804052731</v>
      </c>
      <c r="H89" s="15">
        <f t="shared" si="28"/>
        <v>76360.87315831428</v>
      </c>
      <c r="I89" s="15">
        <f t="shared" si="23"/>
        <v>0</v>
      </c>
      <c r="J89" s="10">
        <f t="shared" si="24"/>
        <v>0</v>
      </c>
    </row>
    <row r="90" spans="1:10" x14ac:dyDescent="0.25">
      <c r="A90" s="61">
        <f t="shared" si="21"/>
        <v>48314</v>
      </c>
      <c r="B90" s="155">
        <f t="shared" si="29"/>
        <v>48304</v>
      </c>
      <c r="C90" s="15">
        <f t="shared" si="25"/>
        <v>69</v>
      </c>
      <c r="D90" s="123">
        <f t="shared" si="26"/>
        <v>20978.914430319001</v>
      </c>
      <c r="E90" s="123">
        <f t="shared" si="22"/>
        <v>77363.109618517163</v>
      </c>
      <c r="F90" s="123">
        <f t="shared" si="30"/>
        <v>98342.02404883616</v>
      </c>
      <c r="G90" s="123">
        <f t="shared" si="27"/>
        <v>1521030.370786756</v>
      </c>
      <c r="H90" s="15">
        <f t="shared" si="28"/>
        <v>77363.109618517163</v>
      </c>
      <c r="I90" s="15">
        <f t="shared" si="23"/>
        <v>0</v>
      </c>
      <c r="J90" s="10">
        <f t="shared" si="24"/>
        <v>0</v>
      </c>
    </row>
    <row r="91" spans="1:10" x14ac:dyDescent="0.25">
      <c r="A91" s="61">
        <f t="shared" si="21"/>
        <v>48406</v>
      </c>
      <c r="B91" s="155">
        <f t="shared" si="29"/>
        <v>48395</v>
      </c>
      <c r="C91" s="15">
        <f t="shared" si="25"/>
        <v>70</v>
      </c>
      <c r="D91" s="123">
        <f t="shared" si="26"/>
        <v>19963.523616576</v>
      </c>
      <c r="E91" s="123">
        <f t="shared" si="22"/>
        <v>78378.500432260204</v>
      </c>
      <c r="F91" s="123">
        <f t="shared" si="30"/>
        <v>98342.024048836203</v>
      </c>
      <c r="G91" s="123">
        <f t="shared" si="27"/>
        <v>1442651.8703544959</v>
      </c>
      <c r="H91" s="15">
        <f t="shared" si="28"/>
        <v>78378.500432260204</v>
      </c>
      <c r="I91" s="15">
        <f t="shared" si="23"/>
        <v>0</v>
      </c>
      <c r="J91" s="10">
        <f t="shared" si="24"/>
        <v>0</v>
      </c>
    </row>
    <row r="92" spans="1:10" x14ac:dyDescent="0.25">
      <c r="A92" s="61">
        <f t="shared" si="21"/>
        <v>48498</v>
      </c>
      <c r="B92" s="155">
        <f t="shared" si="29"/>
        <v>48487</v>
      </c>
      <c r="C92" s="15">
        <f t="shared" si="25"/>
        <v>71</v>
      </c>
      <c r="D92" s="123">
        <f t="shared" si="26"/>
        <v>18934.805798402998</v>
      </c>
      <c r="E92" s="123">
        <f t="shared" si="22"/>
        <v>79407.218250433623</v>
      </c>
      <c r="F92" s="123">
        <f t="shared" si="30"/>
        <v>98342.024048836625</v>
      </c>
      <c r="G92" s="123">
        <f t="shared" si="27"/>
        <v>1363244.6521040623</v>
      </c>
      <c r="H92" s="15">
        <f t="shared" si="28"/>
        <v>79407.218250433623</v>
      </c>
      <c r="I92" s="15">
        <f t="shared" si="23"/>
        <v>0</v>
      </c>
      <c r="J92" s="10">
        <f t="shared" si="24"/>
        <v>0</v>
      </c>
    </row>
    <row r="93" spans="1:10" x14ac:dyDescent="0.25">
      <c r="A93" s="61">
        <f t="shared" si="21"/>
        <v>48589</v>
      </c>
      <c r="B93" s="155">
        <f t="shared" si="29"/>
        <v>48579</v>
      </c>
      <c r="C93" s="15">
        <f t="shared" si="25"/>
        <v>72</v>
      </c>
      <c r="D93" s="123">
        <f t="shared" si="26"/>
        <v>17892.586058866</v>
      </c>
      <c r="E93" s="123">
        <f t="shared" si="22"/>
        <v>80449.437989970567</v>
      </c>
      <c r="F93" s="123">
        <f t="shared" si="30"/>
        <v>98342.024048836567</v>
      </c>
      <c r="G93" s="123">
        <f t="shared" si="27"/>
        <v>1282795.2141140916</v>
      </c>
      <c r="H93" s="15">
        <f t="shared" si="28"/>
        <v>80449.437989970567</v>
      </c>
      <c r="I93" s="15">
        <f t="shared" si="23"/>
        <v>0</v>
      </c>
      <c r="J93" s="10">
        <f t="shared" si="24"/>
        <v>0</v>
      </c>
    </row>
    <row r="94" spans="1:10" x14ac:dyDescent="0.25">
      <c r="A94" s="61">
        <f t="shared" si="21"/>
        <v>48679</v>
      </c>
      <c r="B94" s="155">
        <f t="shared" si="29"/>
        <v>48669</v>
      </c>
      <c r="C94" s="15">
        <f t="shared" si="25"/>
        <v>73</v>
      </c>
      <c r="D94" s="123">
        <f t="shared" si="26"/>
        <v>16836.687185248</v>
      </c>
      <c r="E94" s="123">
        <f t="shared" si="22"/>
        <v>81505.336863588949</v>
      </c>
      <c r="F94" s="123">
        <f t="shared" si="30"/>
        <v>98342.024048836945</v>
      </c>
      <c r="G94" s="123">
        <f t="shared" si="27"/>
        <v>1201289.8772505026</v>
      </c>
      <c r="H94" s="15">
        <f t="shared" si="28"/>
        <v>81505.336863588949</v>
      </c>
      <c r="I94" s="15">
        <f t="shared" si="23"/>
        <v>0</v>
      </c>
      <c r="J94" s="10">
        <f t="shared" si="24"/>
        <v>0</v>
      </c>
    </row>
    <row r="95" spans="1:10" x14ac:dyDescent="0.25">
      <c r="A95" s="61">
        <f t="shared" si="21"/>
        <v>48771</v>
      </c>
      <c r="B95" s="155">
        <f t="shared" si="29"/>
        <v>48760</v>
      </c>
      <c r="C95" s="15">
        <f t="shared" si="25"/>
        <v>74</v>
      </c>
      <c r="D95" s="123">
        <f t="shared" si="26"/>
        <v>15766.929638913</v>
      </c>
      <c r="E95" s="123">
        <f t="shared" si="22"/>
        <v>82575.094409923549</v>
      </c>
      <c r="F95" s="123">
        <f t="shared" si="30"/>
        <v>98342.024048836553</v>
      </c>
      <c r="G95" s="123">
        <f t="shared" si="27"/>
        <v>1118714.782840579</v>
      </c>
      <c r="H95" s="15">
        <f t="shared" si="28"/>
        <v>82575.094409923549</v>
      </c>
      <c r="I95" s="15">
        <f t="shared" si="23"/>
        <v>0</v>
      </c>
      <c r="J95" s="10">
        <f t="shared" si="24"/>
        <v>0</v>
      </c>
    </row>
    <row r="96" spans="1:10" x14ac:dyDescent="0.25">
      <c r="A96" s="61">
        <f t="shared" si="21"/>
        <v>48863</v>
      </c>
      <c r="B96" s="155">
        <f t="shared" si="29"/>
        <v>48852</v>
      </c>
      <c r="C96" s="15">
        <f t="shared" si="25"/>
        <v>75</v>
      </c>
      <c r="D96" s="123">
        <f t="shared" si="26"/>
        <v>14683.131524783001</v>
      </c>
      <c r="E96" s="123">
        <f t="shared" si="22"/>
        <v>83658.892524053823</v>
      </c>
      <c r="F96" s="123">
        <f t="shared" si="30"/>
        <v>98342.024048836829</v>
      </c>
      <c r="G96" s="123">
        <f t="shared" si="27"/>
        <v>1035055.8903165252</v>
      </c>
      <c r="H96" s="15">
        <f t="shared" si="28"/>
        <v>83658.892524053823</v>
      </c>
      <c r="I96" s="15">
        <f t="shared" si="23"/>
        <v>0</v>
      </c>
      <c r="J96" s="10">
        <f t="shared" si="24"/>
        <v>0</v>
      </c>
    </row>
    <row r="97" spans="1:10" x14ac:dyDescent="0.25">
      <c r="A97" s="61">
        <f t="shared" si="21"/>
        <v>48954</v>
      </c>
      <c r="B97" s="155">
        <f t="shared" si="29"/>
        <v>48944</v>
      </c>
      <c r="C97" s="15">
        <f t="shared" si="25"/>
        <v>76</v>
      </c>
      <c r="D97" s="123">
        <f t="shared" si="26"/>
        <v>13585.108560404</v>
      </c>
      <c r="E97" s="123">
        <f t="shared" si="22"/>
        <v>84756.915488432045</v>
      </c>
      <c r="F97" s="123">
        <f t="shared" si="30"/>
        <v>98342.024048836043</v>
      </c>
      <c r="G97" s="123">
        <f t="shared" si="27"/>
        <v>950298.9748280932</v>
      </c>
      <c r="H97" s="15">
        <f t="shared" si="28"/>
        <v>84756.915488432045</v>
      </c>
      <c r="I97" s="15">
        <f t="shared" si="23"/>
        <v>0</v>
      </c>
      <c r="J97" s="10">
        <f t="shared" si="24"/>
        <v>0</v>
      </c>
    </row>
    <row r="98" spans="1:10" x14ac:dyDescent="0.25">
      <c r="A98" s="61">
        <f t="shared" si="21"/>
        <v>49044</v>
      </c>
      <c r="B98" s="155">
        <f t="shared" si="29"/>
        <v>49034</v>
      </c>
      <c r="C98" s="15">
        <f t="shared" si="25"/>
        <v>77</v>
      </c>
      <c r="D98" s="123">
        <f t="shared" si="26"/>
        <v>12472.674044619</v>
      </c>
      <c r="E98" s="123">
        <f t="shared" si="22"/>
        <v>85869.350004217704</v>
      </c>
      <c r="F98" s="123">
        <f t="shared" si="30"/>
        <v>98342.024048836698</v>
      </c>
      <c r="G98" s="123">
        <f t="shared" si="27"/>
        <v>864429.62482387549</v>
      </c>
      <c r="H98" s="15">
        <f t="shared" si="28"/>
        <v>85869.350004217704</v>
      </c>
      <c r="I98" s="15">
        <f t="shared" si="23"/>
        <v>0</v>
      </c>
      <c r="J98" s="10">
        <f t="shared" si="24"/>
        <v>0</v>
      </c>
    </row>
    <row r="99" spans="1:10" x14ac:dyDescent="0.25">
      <c r="A99" s="61">
        <f t="shared" si="21"/>
        <v>49136</v>
      </c>
      <c r="B99" s="155">
        <f t="shared" si="29"/>
        <v>49125</v>
      </c>
      <c r="C99" s="15">
        <f t="shared" si="25"/>
        <v>78</v>
      </c>
      <c r="D99" s="123">
        <f t="shared" si="26"/>
        <v>11345.638825812999</v>
      </c>
      <c r="E99" s="123">
        <f t="shared" si="22"/>
        <v>86996.38522302307</v>
      </c>
      <c r="F99" s="123">
        <f t="shared" si="30"/>
        <v>98342.024048836072</v>
      </c>
      <c r="G99" s="123">
        <f t="shared" si="27"/>
        <v>777433.23960085236</v>
      </c>
      <c r="H99" s="15">
        <f t="shared" si="28"/>
        <v>86996.38522302307</v>
      </c>
      <c r="I99" s="15">
        <f t="shared" si="23"/>
        <v>0</v>
      </c>
      <c r="J99" s="10">
        <f t="shared" si="24"/>
        <v>0</v>
      </c>
    </row>
    <row r="100" spans="1:10" x14ac:dyDescent="0.25">
      <c r="A100" s="61">
        <f t="shared" si="21"/>
        <v>49228</v>
      </c>
      <c r="B100" s="155">
        <f t="shared" si="29"/>
        <v>49217</v>
      </c>
      <c r="C100" s="15">
        <f t="shared" si="25"/>
        <v>79</v>
      </c>
      <c r="D100" s="123">
        <f t="shared" si="26"/>
        <v>10203.811269760999</v>
      </c>
      <c r="E100" s="123">
        <f t="shared" si="22"/>
        <v>88138.212779075257</v>
      </c>
      <c r="F100" s="123">
        <f t="shared" si="30"/>
        <v>98342.024048836261</v>
      </c>
      <c r="G100" s="123">
        <f t="shared" si="27"/>
        <v>689295.02682177711</v>
      </c>
      <c r="H100" s="15">
        <f t="shared" si="28"/>
        <v>88138.212779075257</v>
      </c>
      <c r="I100" s="15">
        <f t="shared" si="23"/>
        <v>0</v>
      </c>
      <c r="J100" s="10">
        <f t="shared" si="24"/>
        <v>0</v>
      </c>
    </row>
    <row r="101" spans="1:10" x14ac:dyDescent="0.25">
      <c r="A101" s="61">
        <f t="shared" si="21"/>
        <v>49319</v>
      </c>
      <c r="B101" s="155">
        <f t="shared" si="29"/>
        <v>49309</v>
      </c>
      <c r="C101" s="15">
        <f t="shared" si="25"/>
        <v>80</v>
      </c>
      <c r="D101" s="123">
        <f t="shared" si="26"/>
        <v>9046.9972270359995</v>
      </c>
      <c r="E101" s="123">
        <f t="shared" si="22"/>
        <v>89295.026821800609</v>
      </c>
      <c r="F101" s="123">
        <f t="shared" si="30"/>
        <v>98342.024048836611</v>
      </c>
      <c r="G101" s="123">
        <f t="shared" si="27"/>
        <v>599999.99999997648</v>
      </c>
      <c r="H101" s="15">
        <f t="shared" si="28"/>
        <v>89295.026821800609</v>
      </c>
      <c r="I101" s="15">
        <f t="shared" si="23"/>
        <v>0</v>
      </c>
      <c r="J101" s="10">
        <f t="shared" si="24"/>
        <v>0</v>
      </c>
    </row>
    <row r="102" spans="1:10" x14ac:dyDescent="0.25">
      <c r="A102" s="61" t="e">
        <f t="shared" si="21"/>
        <v>#VALUE!</v>
      </c>
      <c r="B102" s="155" t="str">
        <f t="shared" si="29"/>
        <v/>
      </c>
      <c r="C102" s="15" t="str">
        <f t="shared" si="25"/>
        <v/>
      </c>
      <c r="D102" s="123" t="str">
        <f t="shared" si="26"/>
        <v/>
      </c>
      <c r="E102" s="123" t="str">
        <f t="shared" si="22"/>
        <v/>
      </c>
      <c r="F102" s="123" t="str">
        <f t="shared" si="30"/>
        <v/>
      </c>
      <c r="G102" s="123" t="str">
        <f t="shared" si="27"/>
        <v/>
      </c>
      <c r="H102" s="15">
        <f t="shared" si="28"/>
        <v>90467.024048836771</v>
      </c>
      <c r="I102" s="15" t="e">
        <f t="shared" si="23"/>
        <v>#DIV/0!</v>
      </c>
      <c r="J102" s="10">
        <f t="shared" ref="J102:J117" si="31">IF(C102=H$7,I$17-IF(J$16=1,H102,0)-IF(A$10=2,J$20,0),0)</f>
        <v>0</v>
      </c>
    </row>
    <row r="103" spans="1:10" x14ac:dyDescent="0.25">
      <c r="A103" s="61" t="e">
        <f t="shared" si="21"/>
        <v>#VALUE!</v>
      </c>
      <c r="B103" s="155" t="str">
        <f t="shared" si="29"/>
        <v/>
      </c>
      <c r="C103" s="15" t="str">
        <f t="shared" si="25"/>
        <v/>
      </c>
      <c r="D103" s="123">
        <f t="shared" si="26"/>
        <v>3401927.8758092071</v>
      </c>
      <c r="E103" s="123">
        <f t="shared" si="22"/>
        <v>4400000.0000000224</v>
      </c>
      <c r="F103" s="123" t="str">
        <f t="shared" si="30"/>
        <v/>
      </c>
      <c r="G103" s="123" t="str">
        <f t="shared" si="27"/>
        <v/>
      </c>
      <c r="H103" s="15" t="e">
        <f t="shared" si="28"/>
        <v>#VALUE!</v>
      </c>
      <c r="I103" s="15" t="e">
        <f t="shared" si="23"/>
        <v>#DIV/0!</v>
      </c>
      <c r="J103" s="10">
        <f t="shared" si="31"/>
        <v>0</v>
      </c>
    </row>
    <row r="104" spans="1:10" x14ac:dyDescent="0.25">
      <c r="A104" s="61" t="e">
        <f t="shared" si="21"/>
        <v>#VALUE!</v>
      </c>
      <c r="B104" s="155" t="str">
        <f t="shared" ref="B104:B119" si="32">IF(OR($I$8=1,C104=""),"",IF(D$12=360,B103+1,IF(DAY(A104)&lt;DAY($A$1),A104-DAY(A104),A104)))</f>
        <v/>
      </c>
      <c r="C104" s="15" t="str">
        <f t="shared" si="25"/>
        <v/>
      </c>
      <c r="D104" s="123" t="str">
        <f t="shared" si="26"/>
        <v/>
      </c>
      <c r="E104" s="123" t="str">
        <f t="shared" si="22"/>
        <v/>
      </c>
      <c r="F104" s="123" t="str">
        <f t="shared" ref="F104:F119" si="33">IF(C104="","",IF(OR(D$16&gt;=C104,OR(C104=J$12,AND(C104&gt;=J$11,C104&lt;=J$12))),D104,IF(A$10=2,IF(I104&gt;0,H$17,H$16)+J104,D104+E104)))</f>
        <v/>
      </c>
      <c r="G104" s="123" t="str">
        <f t="shared" si="27"/>
        <v/>
      </c>
      <c r="H104" s="15" t="e">
        <f t="shared" si="28"/>
        <v>#VALUE!</v>
      </c>
      <c r="I104" s="15" t="e">
        <f t="shared" si="23"/>
        <v>#DIV/0!</v>
      </c>
      <c r="J104" s="10">
        <f t="shared" si="31"/>
        <v>0</v>
      </c>
    </row>
    <row r="105" spans="1:10" x14ac:dyDescent="0.25">
      <c r="A105" s="61" t="e">
        <f t="shared" si="21"/>
        <v>#VALUE!</v>
      </c>
      <c r="B105" s="155" t="str">
        <f t="shared" si="32"/>
        <v/>
      </c>
      <c r="C105" s="15" t="str">
        <f t="shared" si="25"/>
        <v/>
      </c>
      <c r="D105" s="123" t="str">
        <f t="shared" si="26"/>
        <v/>
      </c>
      <c r="E105" s="123" t="str">
        <f t="shared" si="22"/>
        <v/>
      </c>
      <c r="F105" s="123" t="str">
        <f t="shared" si="33"/>
        <v/>
      </c>
      <c r="G105" s="123" t="str">
        <f t="shared" si="27"/>
        <v/>
      </c>
      <c r="H105" s="15" t="e">
        <f t="shared" si="28"/>
        <v>#VALUE!</v>
      </c>
      <c r="I105" s="15" t="e">
        <f t="shared" si="23"/>
        <v>#DIV/0!</v>
      </c>
      <c r="J105" s="10">
        <f t="shared" si="31"/>
        <v>0</v>
      </c>
    </row>
    <row r="106" spans="1:10" x14ac:dyDescent="0.25">
      <c r="A106" s="61" t="e">
        <f t="shared" si="21"/>
        <v>#VALUE!</v>
      </c>
      <c r="B106" s="155" t="str">
        <f t="shared" si="32"/>
        <v/>
      </c>
      <c r="C106" s="15" t="str">
        <f t="shared" si="25"/>
        <v/>
      </c>
      <c r="D106" s="123" t="str">
        <f t="shared" si="26"/>
        <v/>
      </c>
      <c r="E106" s="123" t="str">
        <f t="shared" si="22"/>
        <v/>
      </c>
      <c r="F106" s="123" t="str">
        <f t="shared" si="33"/>
        <v/>
      </c>
      <c r="G106" s="123" t="str">
        <f t="shared" si="27"/>
        <v/>
      </c>
      <c r="H106" s="15" t="e">
        <f t="shared" si="28"/>
        <v>#VALUE!</v>
      </c>
      <c r="I106" s="15" t="e">
        <f t="shared" si="23"/>
        <v>#DIV/0!</v>
      </c>
      <c r="J106" s="10">
        <f t="shared" si="31"/>
        <v>0</v>
      </c>
    </row>
    <row r="107" spans="1:10" x14ac:dyDescent="0.25">
      <c r="A107" s="61" t="e">
        <f t="shared" si="21"/>
        <v>#VALUE!</v>
      </c>
      <c r="B107" s="155" t="str">
        <f t="shared" si="32"/>
        <v/>
      </c>
      <c r="C107" s="15" t="str">
        <f t="shared" si="25"/>
        <v/>
      </c>
      <c r="D107" s="123" t="str">
        <f t="shared" si="26"/>
        <v/>
      </c>
      <c r="E107" s="123" t="str">
        <f t="shared" si="22"/>
        <v/>
      </c>
      <c r="F107" s="123" t="str">
        <f t="shared" si="33"/>
        <v/>
      </c>
      <c r="G107" s="123" t="str">
        <f t="shared" si="27"/>
        <v/>
      </c>
      <c r="H107" s="15" t="e">
        <f t="shared" si="28"/>
        <v>#VALUE!</v>
      </c>
      <c r="I107" s="15" t="e">
        <f t="shared" si="23"/>
        <v>#DIV/0!</v>
      </c>
      <c r="J107" s="10">
        <f t="shared" si="31"/>
        <v>0</v>
      </c>
    </row>
    <row r="108" spans="1:10" x14ac:dyDescent="0.25">
      <c r="A108" s="61" t="e">
        <f t="shared" si="21"/>
        <v>#VALUE!</v>
      </c>
      <c r="B108" s="155" t="str">
        <f t="shared" si="32"/>
        <v/>
      </c>
      <c r="C108" s="15" t="str">
        <f t="shared" si="25"/>
        <v/>
      </c>
      <c r="D108" s="123" t="str">
        <f t="shared" si="26"/>
        <v/>
      </c>
      <c r="E108" s="123" t="str">
        <f t="shared" si="22"/>
        <v/>
      </c>
      <c r="F108" s="123" t="str">
        <f t="shared" si="33"/>
        <v/>
      </c>
      <c r="G108" s="123" t="str">
        <f t="shared" si="27"/>
        <v/>
      </c>
      <c r="H108" s="15" t="e">
        <f t="shared" si="28"/>
        <v>#VALUE!</v>
      </c>
      <c r="I108" s="15" t="e">
        <f t="shared" si="23"/>
        <v>#DIV/0!</v>
      </c>
      <c r="J108" s="10">
        <f t="shared" si="31"/>
        <v>0</v>
      </c>
    </row>
    <row r="109" spans="1:10" x14ac:dyDescent="0.25">
      <c r="A109" s="61" t="e">
        <f t="shared" si="21"/>
        <v>#VALUE!</v>
      </c>
      <c r="B109" s="155" t="str">
        <f t="shared" si="32"/>
        <v/>
      </c>
      <c r="C109" s="15" t="str">
        <f t="shared" si="25"/>
        <v/>
      </c>
      <c r="D109" s="123" t="str">
        <f t="shared" si="26"/>
        <v/>
      </c>
      <c r="E109" s="123" t="str">
        <f t="shared" si="22"/>
        <v/>
      </c>
      <c r="F109" s="123" t="str">
        <f t="shared" si="33"/>
        <v/>
      </c>
      <c r="G109" s="123" t="str">
        <f t="shared" si="27"/>
        <v/>
      </c>
      <c r="H109" s="15" t="e">
        <f t="shared" si="28"/>
        <v>#VALUE!</v>
      </c>
      <c r="I109" s="15" t="e">
        <f t="shared" si="23"/>
        <v>#DIV/0!</v>
      </c>
      <c r="J109" s="10">
        <f t="shared" si="31"/>
        <v>0</v>
      </c>
    </row>
    <row r="110" spans="1:10" x14ac:dyDescent="0.25">
      <c r="A110" s="61" t="e">
        <f t="shared" si="21"/>
        <v>#VALUE!</v>
      </c>
      <c r="B110" s="155" t="str">
        <f>IF(B4="code24","24.02.1949 in",IF(OR($I$8=1,C110=""),"",IF(D$12=360,B109+1,IF(DAY(A110)&lt;DAY($A$1),A110-DAY(A110),A110))))</f>
        <v/>
      </c>
      <c r="C110" s="15" t="str">
        <f t="shared" si="25"/>
        <v/>
      </c>
      <c r="D110" s="123" t="str">
        <f t="shared" si="26"/>
        <v/>
      </c>
      <c r="E110" s="123" t="str">
        <f t="shared" si="22"/>
        <v/>
      </c>
      <c r="F110" s="123" t="str">
        <f t="shared" si="33"/>
        <v/>
      </c>
      <c r="G110" s="123" t="str">
        <f t="shared" si="27"/>
        <v/>
      </c>
      <c r="H110" s="15" t="e">
        <f t="shared" si="28"/>
        <v>#VALUE!</v>
      </c>
      <c r="I110" s="15" t="e">
        <f t="shared" si="23"/>
        <v>#DIV/0!</v>
      </c>
      <c r="J110" s="10">
        <f t="shared" si="31"/>
        <v>0</v>
      </c>
    </row>
    <row r="111" spans="1:10" x14ac:dyDescent="0.25">
      <c r="A111" s="61" t="e">
        <f t="shared" si="21"/>
        <v>#VALUE!</v>
      </c>
      <c r="B111" s="155" t="str">
        <f>IF(B4="code24","Bremerhaven",IF(OR($I$8=1,C111=""),"",IF(D$12=360,B110+1,IF(DAY(A111)&lt;DAY($A$1),A111-DAY(A111),A111))))</f>
        <v/>
      </c>
      <c r="C111" s="15" t="str">
        <f t="shared" si="25"/>
        <v/>
      </c>
      <c r="D111" s="123" t="str">
        <f t="shared" si="26"/>
        <v/>
      </c>
      <c r="E111" s="123" t="str">
        <f t="shared" si="22"/>
        <v/>
      </c>
      <c r="F111" s="123" t="str">
        <f t="shared" si="33"/>
        <v/>
      </c>
      <c r="G111" s="123" t="str">
        <f t="shared" si="27"/>
        <v/>
      </c>
      <c r="H111" s="15" t="e">
        <f t="shared" si="28"/>
        <v>#VALUE!</v>
      </c>
      <c r="I111" s="15" t="e">
        <f t="shared" si="23"/>
        <v>#DIV/0!</v>
      </c>
      <c r="J111" s="10">
        <f t="shared" si="31"/>
        <v>0</v>
      </c>
    </row>
    <row r="112" spans="1:10" x14ac:dyDescent="0.25">
      <c r="A112" s="61" t="e">
        <f t="shared" si="21"/>
        <v>#VALUE!</v>
      </c>
      <c r="B112" s="155" t="str">
        <f t="shared" si="32"/>
        <v/>
      </c>
      <c r="C112" s="15" t="str">
        <f t="shared" si="25"/>
        <v/>
      </c>
      <c r="D112" s="123" t="str">
        <f t="shared" si="26"/>
        <v/>
      </c>
      <c r="E112" s="123" t="str">
        <f t="shared" si="22"/>
        <v/>
      </c>
      <c r="F112" s="123" t="str">
        <f t="shared" si="33"/>
        <v/>
      </c>
      <c r="G112" s="123" t="str">
        <f t="shared" si="27"/>
        <v/>
      </c>
      <c r="H112" s="15" t="e">
        <f t="shared" si="28"/>
        <v>#VALUE!</v>
      </c>
      <c r="I112" s="15" t="e">
        <f t="shared" si="23"/>
        <v>#DIV/0!</v>
      </c>
      <c r="J112" s="10">
        <f t="shared" si="31"/>
        <v>0</v>
      </c>
    </row>
    <row r="113" spans="1:10" x14ac:dyDescent="0.25">
      <c r="A113" s="61" t="e">
        <f t="shared" si="21"/>
        <v>#VALUE!</v>
      </c>
      <c r="B113" s="155" t="str">
        <f t="shared" si="32"/>
        <v/>
      </c>
      <c r="C113" s="15" t="str">
        <f t="shared" si="25"/>
        <v/>
      </c>
      <c r="D113" s="123" t="str">
        <f t="shared" si="26"/>
        <v/>
      </c>
      <c r="E113" s="123" t="str">
        <f t="shared" si="22"/>
        <v/>
      </c>
      <c r="F113" s="123" t="str">
        <f t="shared" si="33"/>
        <v/>
      </c>
      <c r="G113" s="123" t="str">
        <f t="shared" si="27"/>
        <v/>
      </c>
      <c r="H113" s="15" t="e">
        <f t="shared" si="28"/>
        <v>#VALUE!</v>
      </c>
      <c r="I113" s="15" t="e">
        <f t="shared" si="23"/>
        <v>#DIV/0!</v>
      </c>
      <c r="J113" s="10">
        <f t="shared" si="31"/>
        <v>0</v>
      </c>
    </row>
    <row r="114" spans="1:10" x14ac:dyDescent="0.25">
      <c r="A114" s="61" t="e">
        <f t="shared" si="21"/>
        <v>#VALUE!</v>
      </c>
      <c r="B114" s="155" t="str">
        <f t="shared" si="32"/>
        <v/>
      </c>
      <c r="C114" s="15" t="str">
        <f t="shared" si="25"/>
        <v/>
      </c>
      <c r="D114" s="123" t="str">
        <f t="shared" si="26"/>
        <v/>
      </c>
      <c r="E114" s="123" t="str">
        <f t="shared" si="22"/>
        <v/>
      </c>
      <c r="F114" s="123" t="str">
        <f t="shared" si="33"/>
        <v/>
      </c>
      <c r="G114" s="123" t="str">
        <f t="shared" si="27"/>
        <v/>
      </c>
      <c r="H114" s="15" t="e">
        <f t="shared" si="28"/>
        <v>#VALUE!</v>
      </c>
      <c r="I114" s="15" t="e">
        <f t="shared" si="23"/>
        <v>#DIV/0!</v>
      </c>
      <c r="J114" s="10">
        <f t="shared" si="31"/>
        <v>0</v>
      </c>
    </row>
    <row r="115" spans="1:10" x14ac:dyDescent="0.25">
      <c r="A115" s="61" t="e">
        <f t="shared" si="21"/>
        <v>#VALUE!</v>
      </c>
      <c r="B115" s="155" t="str">
        <f t="shared" si="32"/>
        <v/>
      </c>
      <c r="C115" s="15" t="str">
        <f t="shared" si="25"/>
        <v/>
      </c>
      <c r="D115" s="123" t="str">
        <f t="shared" si="26"/>
        <v/>
      </c>
      <c r="E115" s="123" t="str">
        <f t="shared" si="22"/>
        <v/>
      </c>
      <c r="F115" s="123" t="str">
        <f t="shared" si="33"/>
        <v/>
      </c>
      <c r="G115" s="123" t="str">
        <f t="shared" si="27"/>
        <v/>
      </c>
      <c r="H115" s="15" t="e">
        <f t="shared" si="28"/>
        <v>#VALUE!</v>
      </c>
      <c r="I115" s="15" t="e">
        <f t="shared" si="23"/>
        <v>#DIV/0!</v>
      </c>
      <c r="J115" s="10">
        <f t="shared" si="31"/>
        <v>0</v>
      </c>
    </row>
    <row r="116" spans="1:10" x14ac:dyDescent="0.25">
      <c r="A116" s="61" t="e">
        <f t="shared" si="21"/>
        <v>#VALUE!</v>
      </c>
      <c r="B116" s="155" t="str">
        <f t="shared" si="32"/>
        <v/>
      </c>
      <c r="C116" s="15" t="str">
        <f t="shared" si="25"/>
        <v/>
      </c>
      <c r="D116" s="123" t="str">
        <f t="shared" si="26"/>
        <v/>
      </c>
      <c r="E116" s="123" t="str">
        <f t="shared" si="22"/>
        <v/>
      </c>
      <c r="F116" s="123" t="str">
        <f t="shared" si="33"/>
        <v/>
      </c>
      <c r="G116" s="123" t="str">
        <f t="shared" si="27"/>
        <v/>
      </c>
      <c r="H116" s="15" t="e">
        <f t="shared" si="28"/>
        <v>#VALUE!</v>
      </c>
      <c r="I116" s="15" t="e">
        <f t="shared" si="23"/>
        <v>#DIV/0!</v>
      </c>
      <c r="J116" s="10">
        <f t="shared" si="31"/>
        <v>0</v>
      </c>
    </row>
    <row r="117" spans="1:10" x14ac:dyDescent="0.25">
      <c r="A117" s="61" t="e">
        <f t="shared" si="21"/>
        <v>#VALUE!</v>
      </c>
      <c r="B117" s="155" t="str">
        <f t="shared" si="32"/>
        <v/>
      </c>
      <c r="C117" s="15" t="str">
        <f t="shared" si="25"/>
        <v/>
      </c>
      <c r="D117" s="123" t="str">
        <f t="shared" si="26"/>
        <v/>
      </c>
      <c r="E117" s="123" t="str">
        <f t="shared" si="22"/>
        <v/>
      </c>
      <c r="F117" s="123" t="str">
        <f t="shared" si="33"/>
        <v/>
      </c>
      <c r="G117" s="123" t="str">
        <f t="shared" si="27"/>
        <v/>
      </c>
      <c r="H117" s="15" t="e">
        <f t="shared" si="28"/>
        <v>#VALUE!</v>
      </c>
      <c r="I117" s="15" t="e">
        <f t="shared" si="23"/>
        <v>#DIV/0!</v>
      </c>
      <c r="J117" s="10">
        <f t="shared" si="31"/>
        <v>0</v>
      </c>
    </row>
    <row r="118" spans="1:10" x14ac:dyDescent="0.25">
      <c r="A118" s="61" t="e">
        <f t="shared" si="21"/>
        <v>#VALUE!</v>
      </c>
      <c r="B118" s="155" t="str">
        <f t="shared" si="32"/>
        <v/>
      </c>
      <c r="C118" s="15" t="str">
        <f t="shared" si="25"/>
        <v/>
      </c>
      <c r="D118" s="123" t="str">
        <f t="shared" si="26"/>
        <v/>
      </c>
      <c r="E118" s="123" t="str">
        <f t="shared" si="22"/>
        <v/>
      </c>
      <c r="F118" s="123" t="str">
        <f t="shared" si="33"/>
        <v/>
      </c>
      <c r="G118" s="123" t="str">
        <f>IF(B4="codewf","                       W a l t e r   F R I C K E,   D e r e n d o r f   (W F)", IF(C118="","",G117-E118))</f>
        <v/>
      </c>
      <c r="H118" s="15" t="e">
        <f t="shared" si="28"/>
        <v>#VALUE!</v>
      </c>
      <c r="I118" s="15" t="e">
        <f t="shared" si="23"/>
        <v>#DIV/0!</v>
      </c>
      <c r="J118" s="10">
        <f t="shared" ref="J118:J133" si="34">IF(C118=H$7,I$17-IF(J$16=1,H118,0)-IF(A$10=2,J$20,0),0)</f>
        <v>0</v>
      </c>
    </row>
    <row r="119" spans="1:10" x14ac:dyDescent="0.25">
      <c r="A119" s="61" t="e">
        <f t="shared" si="21"/>
        <v>#VALUE!</v>
      </c>
      <c r="B119" s="155" t="str">
        <f t="shared" si="32"/>
        <v/>
      </c>
      <c r="C119" s="15" t="str">
        <f t="shared" si="25"/>
        <v/>
      </c>
      <c r="D119" s="123" t="str">
        <f t="shared" si="26"/>
        <v/>
      </c>
      <c r="E119" s="123" t="str">
        <f t="shared" si="22"/>
        <v/>
      </c>
      <c r="F119" s="123" t="str">
        <f t="shared" si="33"/>
        <v/>
      </c>
      <c r="G119" s="123" t="str">
        <f t="shared" ref="G119:G144" si="35">IF(C119="","",G118-E119)</f>
        <v/>
      </c>
      <c r="H119" s="15" t="e">
        <f t="shared" si="28"/>
        <v>#VALUE!</v>
      </c>
      <c r="I119" s="15" t="e">
        <f t="shared" si="23"/>
        <v>#DIV/0!</v>
      </c>
      <c r="J119" s="10">
        <f t="shared" si="34"/>
        <v>0</v>
      </c>
    </row>
    <row r="120" spans="1:10" x14ac:dyDescent="0.25">
      <c r="A120" s="61" t="e">
        <f t="shared" si="21"/>
        <v>#VALUE!</v>
      </c>
      <c r="B120" s="155" t="str">
        <f t="shared" ref="B120:B135" si="36">IF(OR($I$8=1,C120=""),"",IF(D$12=360,B119+1,IF(DAY(A120)&lt;DAY($A$1),A120-DAY(A120),A120)))</f>
        <v/>
      </c>
      <c r="C120" s="15" t="str">
        <f t="shared" si="25"/>
        <v/>
      </c>
      <c r="D120" s="123" t="str">
        <f t="shared" si="26"/>
        <v/>
      </c>
      <c r="E120" s="123" t="str">
        <f t="shared" si="22"/>
        <v/>
      </c>
      <c r="F120" s="123" t="str">
        <f t="shared" ref="F120:F135" si="37">IF(C120="","",IF(OR(D$16&gt;=C120,OR(C120=J$12,AND(C120&gt;=J$11,C120&lt;=J$12))),D120,IF(A$10=2,IF(I120&gt;0,H$17,H$16)+J120,D120+E120)))</f>
        <v/>
      </c>
      <c r="G120" s="123" t="str">
        <f t="shared" si="35"/>
        <v/>
      </c>
      <c r="H120" s="15" t="e">
        <f t="shared" si="28"/>
        <v>#VALUE!</v>
      </c>
      <c r="I120" s="15" t="e">
        <f t="shared" si="23"/>
        <v>#DIV/0!</v>
      </c>
      <c r="J120" s="10">
        <f t="shared" si="34"/>
        <v>0</v>
      </c>
    </row>
    <row r="121" spans="1:10" x14ac:dyDescent="0.25">
      <c r="A121" s="61" t="e">
        <f t="shared" si="21"/>
        <v>#VALUE!</v>
      </c>
      <c r="B121" s="155" t="str">
        <f t="shared" si="36"/>
        <v/>
      </c>
      <c r="C121" s="15" t="str">
        <f t="shared" si="25"/>
        <v/>
      </c>
      <c r="D121" s="123" t="str">
        <f t="shared" si="26"/>
        <v/>
      </c>
      <c r="E121" s="123" t="str">
        <f t="shared" si="22"/>
        <v/>
      </c>
      <c r="F121" s="123" t="str">
        <f t="shared" si="37"/>
        <v/>
      </c>
      <c r="G121" s="123" t="str">
        <f t="shared" si="35"/>
        <v/>
      </c>
      <c r="H121" s="15" t="e">
        <f t="shared" si="28"/>
        <v>#VALUE!</v>
      </c>
      <c r="I121" s="15" t="e">
        <f t="shared" si="23"/>
        <v>#DIV/0!</v>
      </c>
      <c r="J121" s="10">
        <f t="shared" si="34"/>
        <v>0</v>
      </c>
    </row>
    <row r="122" spans="1:10" x14ac:dyDescent="0.25">
      <c r="A122" s="61" t="e">
        <f t="shared" si="21"/>
        <v>#VALUE!</v>
      </c>
      <c r="B122" s="155" t="str">
        <f t="shared" si="36"/>
        <v/>
      </c>
      <c r="C122" s="15" t="str">
        <f>IF(OR(C121&gt;=$A$5,C121=""),"",C121+1)</f>
        <v/>
      </c>
      <c r="D122" s="123" t="str">
        <f t="shared" si="26"/>
        <v/>
      </c>
      <c r="E122" s="123" t="str">
        <f t="shared" si="22"/>
        <v/>
      </c>
      <c r="F122" s="123" t="str">
        <f t="shared" si="37"/>
        <v/>
      </c>
      <c r="G122" s="123" t="str">
        <f t="shared" si="35"/>
        <v/>
      </c>
      <c r="H122" s="15" t="e">
        <f t="shared" si="28"/>
        <v>#VALUE!</v>
      </c>
      <c r="I122" s="15" t="e">
        <f t="shared" si="23"/>
        <v>#DIV/0!</v>
      </c>
      <c r="J122" s="10">
        <f t="shared" si="34"/>
        <v>0</v>
      </c>
    </row>
    <row r="123" spans="1:10" x14ac:dyDescent="0.25">
      <c r="A123" s="61" t="e">
        <f t="shared" si="21"/>
        <v>#VALUE!</v>
      </c>
      <c r="B123" s="155" t="str">
        <f t="shared" si="36"/>
        <v/>
      </c>
      <c r="C123" s="15" t="str">
        <f t="shared" ref="C123:C155" si="38">IF(OR(C122&gt;=$A$5,C122=""),"",C122+1)</f>
        <v/>
      </c>
      <c r="D123" s="123" t="str">
        <f t="shared" si="26"/>
        <v/>
      </c>
      <c r="E123" s="123" t="str">
        <f t="shared" si="22"/>
        <v/>
      </c>
      <c r="F123" s="123" t="str">
        <f t="shared" si="37"/>
        <v/>
      </c>
      <c r="G123" s="123" t="str">
        <f t="shared" si="35"/>
        <v/>
      </c>
      <c r="H123" s="15" t="e">
        <f t="shared" si="28"/>
        <v>#VALUE!</v>
      </c>
      <c r="I123" s="15" t="e">
        <f t="shared" si="23"/>
        <v>#DIV/0!</v>
      </c>
      <c r="J123" s="10">
        <f t="shared" si="34"/>
        <v>0</v>
      </c>
    </row>
    <row r="124" spans="1:10" x14ac:dyDescent="0.25">
      <c r="A124" s="61" t="e">
        <f t="shared" si="21"/>
        <v>#VALUE!</v>
      </c>
      <c r="B124" s="155" t="str">
        <f t="shared" si="36"/>
        <v/>
      </c>
      <c r="C124" s="15" t="str">
        <f t="shared" si="38"/>
        <v/>
      </c>
      <c r="D124" s="123" t="str">
        <f t="shared" si="26"/>
        <v/>
      </c>
      <c r="E124" s="123" t="str">
        <f t="shared" si="22"/>
        <v/>
      </c>
      <c r="F124" s="123" t="str">
        <f t="shared" si="37"/>
        <v/>
      </c>
      <c r="G124" s="123" t="str">
        <f t="shared" si="35"/>
        <v/>
      </c>
      <c r="H124" s="15" t="e">
        <f t="shared" si="28"/>
        <v>#VALUE!</v>
      </c>
      <c r="I124" s="15" t="e">
        <f t="shared" si="23"/>
        <v>#DIV/0!</v>
      </c>
      <c r="J124" s="10">
        <f t="shared" si="34"/>
        <v>0</v>
      </c>
    </row>
    <row r="125" spans="1:10" x14ac:dyDescent="0.25">
      <c r="A125" s="61" t="e">
        <f t="shared" si="21"/>
        <v>#VALUE!</v>
      </c>
      <c r="B125" s="155" t="str">
        <f t="shared" si="36"/>
        <v/>
      </c>
      <c r="C125" s="15" t="str">
        <f t="shared" si="38"/>
        <v/>
      </c>
      <c r="D125" s="123" t="str">
        <f t="shared" si="26"/>
        <v/>
      </c>
      <c r="E125" s="123" t="str">
        <f t="shared" si="22"/>
        <v/>
      </c>
      <c r="F125" s="123" t="str">
        <f t="shared" si="37"/>
        <v/>
      </c>
      <c r="G125" s="123" t="str">
        <f t="shared" si="35"/>
        <v/>
      </c>
      <c r="H125" s="15" t="e">
        <f t="shared" si="28"/>
        <v>#VALUE!</v>
      </c>
      <c r="I125" s="15" t="e">
        <f t="shared" si="23"/>
        <v>#DIV/0!</v>
      </c>
      <c r="J125" s="10">
        <f t="shared" si="34"/>
        <v>0</v>
      </c>
    </row>
    <row r="126" spans="1:10" x14ac:dyDescent="0.25">
      <c r="A126" s="61" t="e">
        <f t="shared" si="21"/>
        <v>#VALUE!</v>
      </c>
      <c r="B126" s="155" t="str">
        <f t="shared" si="36"/>
        <v/>
      </c>
      <c r="C126" s="15" t="str">
        <f t="shared" si="38"/>
        <v/>
      </c>
      <c r="D126" s="123" t="str">
        <f t="shared" si="26"/>
        <v/>
      </c>
      <c r="E126" s="123" t="str">
        <f t="shared" si="22"/>
        <v/>
      </c>
      <c r="F126" s="123" t="str">
        <f t="shared" si="37"/>
        <v/>
      </c>
      <c r="G126" s="123" t="str">
        <f t="shared" si="35"/>
        <v/>
      </c>
      <c r="H126" s="15" t="e">
        <f t="shared" si="28"/>
        <v>#VALUE!</v>
      </c>
      <c r="I126" s="15" t="e">
        <f t="shared" si="23"/>
        <v>#DIV/0!</v>
      </c>
      <c r="J126" s="10">
        <f t="shared" si="34"/>
        <v>0</v>
      </c>
    </row>
    <row r="127" spans="1:10" x14ac:dyDescent="0.25">
      <c r="A127" s="61" t="e">
        <f t="shared" si="21"/>
        <v>#VALUE!</v>
      </c>
      <c r="B127" s="155" t="str">
        <f t="shared" si="36"/>
        <v/>
      </c>
      <c r="C127" s="15" t="str">
        <f t="shared" si="38"/>
        <v/>
      </c>
      <c r="D127" s="123" t="str">
        <f t="shared" si="26"/>
        <v/>
      </c>
      <c r="E127" s="123" t="str">
        <f t="shared" si="22"/>
        <v/>
      </c>
      <c r="F127" s="123" t="str">
        <f t="shared" si="37"/>
        <v/>
      </c>
      <c r="G127" s="123" t="str">
        <f t="shared" si="35"/>
        <v/>
      </c>
      <c r="H127" s="15" t="e">
        <f t="shared" si="28"/>
        <v>#VALUE!</v>
      </c>
      <c r="I127" s="15" t="e">
        <f t="shared" si="23"/>
        <v>#DIV/0!</v>
      </c>
      <c r="J127" s="10">
        <f t="shared" si="34"/>
        <v>0</v>
      </c>
    </row>
    <row r="128" spans="1:10" x14ac:dyDescent="0.25">
      <c r="A128" s="61" t="e">
        <f t="shared" si="21"/>
        <v>#VALUE!</v>
      </c>
      <c r="B128" s="155" t="str">
        <f t="shared" si="36"/>
        <v/>
      </c>
      <c r="C128" s="15" t="str">
        <f t="shared" si="38"/>
        <v/>
      </c>
      <c r="D128" s="123" t="str">
        <f t="shared" si="26"/>
        <v/>
      </c>
      <c r="E128" s="123" t="str">
        <f t="shared" si="22"/>
        <v/>
      </c>
      <c r="F128" s="123" t="str">
        <f t="shared" si="37"/>
        <v/>
      </c>
      <c r="G128" s="123" t="str">
        <f t="shared" si="35"/>
        <v/>
      </c>
      <c r="H128" s="15" t="e">
        <f t="shared" si="28"/>
        <v>#VALUE!</v>
      </c>
      <c r="I128" s="15" t="e">
        <f t="shared" si="23"/>
        <v>#DIV/0!</v>
      </c>
      <c r="J128" s="10">
        <f t="shared" si="34"/>
        <v>0</v>
      </c>
    </row>
    <row r="129" spans="1:10" x14ac:dyDescent="0.25">
      <c r="A129" s="61" t="e">
        <f t="shared" si="21"/>
        <v>#VALUE!</v>
      </c>
      <c r="B129" s="155" t="str">
        <f t="shared" si="36"/>
        <v/>
      </c>
      <c r="C129" s="15" t="str">
        <f t="shared" si="38"/>
        <v/>
      </c>
      <c r="D129" s="123" t="str">
        <f t="shared" si="26"/>
        <v/>
      </c>
      <c r="E129" s="123" t="str">
        <f t="shared" si="22"/>
        <v/>
      </c>
      <c r="F129" s="123" t="str">
        <f t="shared" si="37"/>
        <v/>
      </c>
      <c r="G129" s="123" t="str">
        <f t="shared" si="35"/>
        <v/>
      </c>
      <c r="H129" s="15" t="e">
        <f t="shared" si="28"/>
        <v>#VALUE!</v>
      </c>
      <c r="I129" s="15" t="e">
        <f t="shared" si="23"/>
        <v>#DIV/0!</v>
      </c>
      <c r="J129" s="10">
        <f t="shared" si="34"/>
        <v>0</v>
      </c>
    </row>
    <row r="130" spans="1:10" x14ac:dyDescent="0.25">
      <c r="A130" s="61" t="e">
        <f t="shared" si="21"/>
        <v>#VALUE!</v>
      </c>
      <c r="B130" s="155" t="str">
        <f t="shared" si="36"/>
        <v/>
      </c>
      <c r="C130" s="15" t="str">
        <f t="shared" si="38"/>
        <v/>
      </c>
      <c r="D130" s="123" t="str">
        <f t="shared" si="26"/>
        <v/>
      </c>
      <c r="E130" s="123" t="str">
        <f t="shared" si="22"/>
        <v/>
      </c>
      <c r="F130" s="123" t="str">
        <f t="shared" si="37"/>
        <v/>
      </c>
      <c r="G130" s="123" t="str">
        <f t="shared" si="35"/>
        <v/>
      </c>
      <c r="H130" s="15" t="e">
        <f t="shared" si="28"/>
        <v>#VALUE!</v>
      </c>
      <c r="I130" s="15" t="e">
        <f t="shared" si="23"/>
        <v>#DIV/0!</v>
      </c>
      <c r="J130" s="10">
        <f t="shared" si="34"/>
        <v>0</v>
      </c>
    </row>
    <row r="131" spans="1:10" x14ac:dyDescent="0.25">
      <c r="A131" s="61" t="e">
        <f t="shared" si="21"/>
        <v>#VALUE!</v>
      </c>
      <c r="B131" s="155" t="str">
        <f t="shared" si="36"/>
        <v/>
      </c>
      <c r="C131" s="15" t="str">
        <f t="shared" si="38"/>
        <v/>
      </c>
      <c r="D131" s="123" t="str">
        <f t="shared" si="26"/>
        <v/>
      </c>
      <c r="E131" s="123" t="str">
        <f t="shared" si="22"/>
        <v/>
      </c>
      <c r="F131" s="123" t="str">
        <f t="shared" si="37"/>
        <v/>
      </c>
      <c r="G131" s="123" t="str">
        <f t="shared" si="35"/>
        <v/>
      </c>
      <c r="H131" s="15" t="e">
        <f t="shared" si="28"/>
        <v>#VALUE!</v>
      </c>
      <c r="I131" s="15" t="e">
        <f t="shared" si="23"/>
        <v>#DIV/0!</v>
      </c>
      <c r="J131" s="10">
        <f t="shared" si="34"/>
        <v>0</v>
      </c>
    </row>
    <row r="132" spans="1:10" x14ac:dyDescent="0.25">
      <c r="A132" s="61" t="e">
        <f t="shared" si="21"/>
        <v>#VALUE!</v>
      </c>
      <c r="B132" s="155" t="str">
        <f t="shared" si="36"/>
        <v/>
      </c>
      <c r="C132" s="15" t="str">
        <f t="shared" si="38"/>
        <v/>
      </c>
      <c r="D132" s="123" t="str">
        <f t="shared" si="26"/>
        <v/>
      </c>
      <c r="E132" s="123" t="str">
        <f t="shared" si="22"/>
        <v/>
      </c>
      <c r="F132" s="123" t="str">
        <f t="shared" si="37"/>
        <v/>
      </c>
      <c r="G132" s="123" t="str">
        <f t="shared" si="35"/>
        <v/>
      </c>
      <c r="H132" s="15" t="e">
        <f t="shared" si="28"/>
        <v>#VALUE!</v>
      </c>
      <c r="I132" s="15" t="e">
        <f t="shared" si="23"/>
        <v>#DIV/0!</v>
      </c>
      <c r="J132" s="10">
        <f t="shared" si="34"/>
        <v>0</v>
      </c>
    </row>
    <row r="133" spans="1:10" x14ac:dyDescent="0.25">
      <c r="A133" s="61" t="e">
        <f t="shared" si="21"/>
        <v>#VALUE!</v>
      </c>
      <c r="B133" s="155" t="str">
        <f t="shared" si="36"/>
        <v/>
      </c>
      <c r="C133" s="15" t="str">
        <f t="shared" si="38"/>
        <v/>
      </c>
      <c r="D133" s="123" t="str">
        <f t="shared" si="26"/>
        <v/>
      </c>
      <c r="E133" s="123" t="str">
        <f t="shared" si="22"/>
        <v/>
      </c>
      <c r="F133" s="123" t="str">
        <f t="shared" si="37"/>
        <v/>
      </c>
      <c r="G133" s="123" t="str">
        <f t="shared" si="35"/>
        <v/>
      </c>
      <c r="H133" s="15" t="e">
        <f t="shared" si="28"/>
        <v>#VALUE!</v>
      </c>
      <c r="I133" s="15" t="e">
        <f t="shared" si="23"/>
        <v>#DIV/0!</v>
      </c>
      <c r="J133" s="10">
        <f t="shared" si="34"/>
        <v>0</v>
      </c>
    </row>
    <row r="134" spans="1:10" x14ac:dyDescent="0.25">
      <c r="A134" s="61" t="e">
        <f t="shared" si="21"/>
        <v>#VALUE!</v>
      </c>
      <c r="B134" s="155" t="str">
        <f t="shared" si="36"/>
        <v/>
      </c>
      <c r="C134" s="15" t="str">
        <f t="shared" si="38"/>
        <v/>
      </c>
      <c r="D134" s="123" t="str">
        <f t="shared" si="26"/>
        <v/>
      </c>
      <c r="E134" s="123" t="str">
        <f t="shared" si="22"/>
        <v/>
      </c>
      <c r="F134" s="123" t="str">
        <f t="shared" si="37"/>
        <v/>
      </c>
      <c r="G134" s="123" t="str">
        <f t="shared" si="35"/>
        <v/>
      </c>
      <c r="H134" s="15" t="e">
        <f t="shared" si="28"/>
        <v>#VALUE!</v>
      </c>
      <c r="I134" s="15" t="e">
        <f t="shared" si="23"/>
        <v>#DIV/0!</v>
      </c>
      <c r="J134" s="10">
        <f t="shared" ref="J134:J149" si="39">IF(C134=H$7,I$17-IF(J$16=1,H134,0)-IF(A$10=2,J$20,0),0)</f>
        <v>0</v>
      </c>
    </row>
    <row r="135" spans="1:10" x14ac:dyDescent="0.25">
      <c r="A135" s="61" t="e">
        <f t="shared" si="21"/>
        <v>#VALUE!</v>
      </c>
      <c r="B135" s="155" t="str">
        <f t="shared" si="36"/>
        <v/>
      </c>
      <c r="C135" s="15" t="str">
        <f t="shared" si="38"/>
        <v/>
      </c>
      <c r="D135" s="123" t="str">
        <f t="shared" si="26"/>
        <v/>
      </c>
      <c r="E135" s="123" t="str">
        <f t="shared" si="22"/>
        <v/>
      </c>
      <c r="F135" s="123" t="str">
        <f t="shared" si="37"/>
        <v/>
      </c>
      <c r="G135" s="123" t="str">
        <f t="shared" si="35"/>
        <v/>
      </c>
      <c r="H135" s="15" t="e">
        <f t="shared" si="28"/>
        <v>#VALUE!</v>
      </c>
      <c r="I135" s="15" t="e">
        <f t="shared" si="23"/>
        <v>#DIV/0!</v>
      </c>
      <c r="J135" s="10">
        <f t="shared" si="39"/>
        <v>0</v>
      </c>
    </row>
    <row r="136" spans="1:10" x14ac:dyDescent="0.25">
      <c r="A136" s="61" t="e">
        <f t="shared" si="21"/>
        <v>#VALUE!</v>
      </c>
      <c r="B136" s="155" t="str">
        <f t="shared" ref="B136:B151" si="40">IF(OR($I$8=1,C136=""),"",IF(D$12=360,B135+1,IF(DAY(A136)&lt;DAY($A$1),A136-DAY(A136),A136)))</f>
        <v/>
      </c>
      <c r="C136" s="15" t="str">
        <f t="shared" si="38"/>
        <v/>
      </c>
      <c r="D136" s="123" t="str">
        <f t="shared" si="26"/>
        <v/>
      </c>
      <c r="E136" s="123" t="str">
        <f t="shared" si="22"/>
        <v/>
      </c>
      <c r="F136" s="123" t="str">
        <f t="shared" ref="F136:F151" si="41">IF(C136="","",IF(OR(D$16&gt;=C136,OR(C136=J$12,AND(C136&gt;=J$11,C136&lt;=J$12))),D136,IF(A$10=2,IF(I136&gt;0,H$17,H$16)+J136,D136+E136)))</f>
        <v/>
      </c>
      <c r="G136" s="123" t="str">
        <f t="shared" si="35"/>
        <v/>
      </c>
      <c r="H136" s="15" t="e">
        <f t="shared" si="28"/>
        <v>#VALUE!</v>
      </c>
      <c r="I136" s="15" t="e">
        <f t="shared" si="23"/>
        <v>#DIV/0!</v>
      </c>
      <c r="J136" s="10">
        <f t="shared" si="39"/>
        <v>0</v>
      </c>
    </row>
    <row r="137" spans="1:10" x14ac:dyDescent="0.25">
      <c r="A137" s="61" t="e">
        <f t="shared" si="21"/>
        <v>#VALUE!</v>
      </c>
      <c r="B137" s="155" t="str">
        <f t="shared" si="40"/>
        <v/>
      </c>
      <c r="C137" s="15" t="str">
        <f t="shared" si="38"/>
        <v/>
      </c>
      <c r="D137" s="123" t="str">
        <f t="shared" si="26"/>
        <v/>
      </c>
      <c r="E137" s="123" t="str">
        <f t="shared" si="22"/>
        <v/>
      </c>
      <c r="F137" s="123" t="str">
        <f t="shared" si="41"/>
        <v/>
      </c>
      <c r="G137" s="123" t="str">
        <f t="shared" si="35"/>
        <v/>
      </c>
      <c r="H137" s="15" t="e">
        <f t="shared" si="28"/>
        <v>#VALUE!</v>
      </c>
      <c r="I137" s="15" t="e">
        <f t="shared" si="23"/>
        <v>#DIV/0!</v>
      </c>
      <c r="J137" s="10">
        <f t="shared" si="39"/>
        <v>0</v>
      </c>
    </row>
    <row r="138" spans="1:10" x14ac:dyDescent="0.25">
      <c r="A138" s="61" t="e">
        <f t="shared" si="21"/>
        <v>#VALUE!</v>
      </c>
      <c r="B138" s="155" t="str">
        <f t="shared" si="40"/>
        <v/>
      </c>
      <c r="C138" s="15" t="str">
        <f t="shared" si="38"/>
        <v/>
      </c>
      <c r="D138" s="123" t="str">
        <f t="shared" si="26"/>
        <v/>
      </c>
      <c r="E138" s="123" t="str">
        <f t="shared" si="22"/>
        <v/>
      </c>
      <c r="F138" s="123" t="str">
        <f t="shared" si="41"/>
        <v/>
      </c>
      <c r="G138" s="123" t="str">
        <f t="shared" si="35"/>
        <v/>
      </c>
      <c r="H138" s="15" t="e">
        <f t="shared" si="28"/>
        <v>#VALUE!</v>
      </c>
      <c r="I138" s="15" t="e">
        <f t="shared" si="23"/>
        <v>#DIV/0!</v>
      </c>
      <c r="J138" s="10">
        <f t="shared" si="39"/>
        <v>0</v>
      </c>
    </row>
    <row r="139" spans="1:10" x14ac:dyDescent="0.25">
      <c r="A139" s="61" t="e">
        <f t="shared" si="21"/>
        <v>#VALUE!</v>
      </c>
      <c r="B139" s="155" t="str">
        <f t="shared" si="40"/>
        <v/>
      </c>
      <c r="C139" s="15" t="str">
        <f t="shared" si="38"/>
        <v/>
      </c>
      <c r="D139" s="123" t="str">
        <f t="shared" si="26"/>
        <v/>
      </c>
      <c r="E139" s="123" t="str">
        <f t="shared" si="22"/>
        <v/>
      </c>
      <c r="F139" s="123" t="str">
        <f t="shared" si="41"/>
        <v/>
      </c>
      <c r="G139" s="123" t="str">
        <f t="shared" si="35"/>
        <v/>
      </c>
      <c r="H139" s="15" t="e">
        <f t="shared" si="28"/>
        <v>#VALUE!</v>
      </c>
      <c r="I139" s="15" t="e">
        <f t="shared" si="23"/>
        <v>#DIV/0!</v>
      </c>
      <c r="J139" s="10">
        <f t="shared" si="39"/>
        <v>0</v>
      </c>
    </row>
    <row r="140" spans="1:10" x14ac:dyDescent="0.25">
      <c r="A140" s="61" t="e">
        <f t="shared" si="21"/>
        <v>#VALUE!</v>
      </c>
      <c r="B140" s="155" t="str">
        <f t="shared" si="40"/>
        <v/>
      </c>
      <c r="C140" s="15" t="str">
        <f t="shared" si="38"/>
        <v/>
      </c>
      <c r="D140" s="123" t="str">
        <f t="shared" si="26"/>
        <v/>
      </c>
      <c r="E140" s="123" t="str">
        <f t="shared" si="22"/>
        <v/>
      </c>
      <c r="F140" s="123" t="str">
        <f t="shared" si="41"/>
        <v/>
      </c>
      <c r="G140" s="123" t="str">
        <f t="shared" si="35"/>
        <v/>
      </c>
      <c r="H140" s="15" t="e">
        <f t="shared" si="28"/>
        <v>#VALUE!</v>
      </c>
      <c r="I140" s="15" t="e">
        <f t="shared" si="23"/>
        <v>#DIV/0!</v>
      </c>
      <c r="J140" s="10">
        <f t="shared" si="39"/>
        <v>0</v>
      </c>
    </row>
    <row r="141" spans="1:10" x14ac:dyDescent="0.25">
      <c r="A141" s="61" t="e">
        <f t="shared" si="21"/>
        <v>#VALUE!</v>
      </c>
      <c r="B141" s="155" t="str">
        <f t="shared" si="40"/>
        <v/>
      </c>
      <c r="C141" s="15" t="str">
        <f t="shared" si="38"/>
        <v/>
      </c>
      <c r="D141" s="123" t="str">
        <f t="shared" si="26"/>
        <v/>
      </c>
      <c r="E141" s="123" t="str">
        <f t="shared" si="22"/>
        <v/>
      </c>
      <c r="F141" s="123" t="str">
        <f t="shared" si="41"/>
        <v/>
      </c>
      <c r="G141" s="123" t="str">
        <f t="shared" si="35"/>
        <v/>
      </c>
      <c r="H141" s="15" t="e">
        <f t="shared" si="28"/>
        <v>#VALUE!</v>
      </c>
      <c r="I141" s="15" t="e">
        <f t="shared" si="23"/>
        <v>#DIV/0!</v>
      </c>
      <c r="J141" s="10">
        <f t="shared" si="39"/>
        <v>0</v>
      </c>
    </row>
    <row r="142" spans="1:10" x14ac:dyDescent="0.25">
      <c r="A142" s="61" t="e">
        <f t="shared" si="21"/>
        <v>#VALUE!</v>
      </c>
      <c r="B142" s="155" t="str">
        <f t="shared" si="40"/>
        <v/>
      </c>
      <c r="C142" s="15" t="str">
        <f t="shared" si="38"/>
        <v/>
      </c>
      <c r="D142" s="123" t="str">
        <f t="shared" si="26"/>
        <v/>
      </c>
      <c r="E142" s="123" t="str">
        <f t="shared" si="22"/>
        <v/>
      </c>
      <c r="F142" s="123" t="str">
        <f t="shared" si="41"/>
        <v/>
      </c>
      <c r="G142" s="123" t="str">
        <f t="shared" si="35"/>
        <v/>
      </c>
      <c r="H142" s="15" t="e">
        <f t="shared" si="28"/>
        <v>#VALUE!</v>
      </c>
      <c r="I142" s="15" t="e">
        <f t="shared" si="23"/>
        <v>#DIV/0!</v>
      </c>
      <c r="J142" s="10">
        <f t="shared" si="39"/>
        <v>0</v>
      </c>
    </row>
    <row r="143" spans="1:10" x14ac:dyDescent="0.25">
      <c r="A143" s="61" t="e">
        <f t="shared" si="21"/>
        <v>#VALUE!</v>
      </c>
      <c r="B143" s="155" t="str">
        <f t="shared" si="40"/>
        <v/>
      </c>
      <c r="C143" s="15" t="str">
        <f t="shared" si="38"/>
        <v/>
      </c>
      <c r="D143" s="123" t="str">
        <f t="shared" si="26"/>
        <v/>
      </c>
      <c r="E143" s="123" t="str">
        <f t="shared" si="22"/>
        <v/>
      </c>
      <c r="F143" s="123" t="str">
        <f t="shared" si="41"/>
        <v/>
      </c>
      <c r="G143" s="123" t="str">
        <f t="shared" si="35"/>
        <v/>
      </c>
      <c r="H143" s="15" t="e">
        <f t="shared" si="28"/>
        <v>#VALUE!</v>
      </c>
      <c r="I143" s="15" t="e">
        <f t="shared" si="23"/>
        <v>#DIV/0!</v>
      </c>
      <c r="J143" s="10">
        <f t="shared" si="39"/>
        <v>0</v>
      </c>
    </row>
    <row r="144" spans="1:10" x14ac:dyDescent="0.25">
      <c r="A144" s="61" t="e">
        <f t="shared" si="21"/>
        <v>#VALUE!</v>
      </c>
      <c r="B144" s="155" t="str">
        <f t="shared" si="40"/>
        <v/>
      </c>
      <c r="C144" s="15" t="str">
        <f t="shared" si="38"/>
        <v/>
      </c>
      <c r="D144" s="123" t="str">
        <f t="shared" si="26"/>
        <v/>
      </c>
      <c r="E144" s="123" t="str">
        <f t="shared" si="22"/>
        <v/>
      </c>
      <c r="F144" s="123" t="str">
        <f t="shared" si="41"/>
        <v/>
      </c>
      <c r="G144" s="123" t="str">
        <f t="shared" si="35"/>
        <v/>
      </c>
      <c r="H144" s="15" t="e">
        <f t="shared" si="28"/>
        <v>#VALUE!</v>
      </c>
      <c r="I144" s="15" t="e">
        <f t="shared" si="23"/>
        <v>#DIV/0!</v>
      </c>
      <c r="J144" s="10">
        <f t="shared" si="39"/>
        <v>0</v>
      </c>
    </row>
    <row r="145" spans="1:10" x14ac:dyDescent="0.25">
      <c r="A145" s="61" t="e">
        <f t="shared" si="21"/>
        <v>#VALUE!</v>
      </c>
      <c r="B145" s="155" t="str">
        <f t="shared" si="40"/>
        <v/>
      </c>
      <c r="C145" s="15" t="str">
        <f t="shared" si="38"/>
        <v/>
      </c>
      <c r="D145" s="123" t="str">
        <f t="shared" si="26"/>
        <v/>
      </c>
      <c r="E145" s="123" t="str">
        <f t="shared" si="22"/>
        <v/>
      </c>
      <c r="F145" s="123" t="str">
        <f t="shared" si="41"/>
        <v/>
      </c>
      <c r="G145" s="123" t="str">
        <f t="shared" ref="G145:G176" si="42">IF(C145="","",G144-E145)</f>
        <v/>
      </c>
      <c r="H145" s="15" t="e">
        <f t="shared" si="28"/>
        <v>#VALUE!</v>
      </c>
      <c r="I145" s="15" t="e">
        <f t="shared" si="23"/>
        <v>#DIV/0!</v>
      </c>
      <c r="J145" s="10">
        <f t="shared" si="39"/>
        <v>0</v>
      </c>
    </row>
    <row r="146" spans="1:10" x14ac:dyDescent="0.25">
      <c r="A146" s="61" t="e">
        <f t="shared" si="21"/>
        <v>#VALUE!</v>
      </c>
      <c r="B146" s="155" t="str">
        <f t="shared" si="40"/>
        <v/>
      </c>
      <c r="C146" s="15" t="str">
        <f t="shared" si="38"/>
        <v/>
      </c>
      <c r="D146" s="123" t="str">
        <f t="shared" si="26"/>
        <v/>
      </c>
      <c r="E146" s="123" t="str">
        <f t="shared" si="22"/>
        <v/>
      </c>
      <c r="F146" s="123" t="str">
        <f t="shared" si="41"/>
        <v/>
      </c>
      <c r="G146" s="123" t="str">
        <f t="shared" si="42"/>
        <v/>
      </c>
      <c r="H146" s="15" t="e">
        <f t="shared" si="28"/>
        <v>#VALUE!</v>
      </c>
      <c r="I146" s="15" t="e">
        <f t="shared" si="23"/>
        <v>#DIV/0!</v>
      </c>
      <c r="J146" s="10">
        <f t="shared" si="39"/>
        <v>0</v>
      </c>
    </row>
    <row r="147" spans="1:10" x14ac:dyDescent="0.25">
      <c r="A147" s="61" t="e">
        <f t="shared" si="21"/>
        <v>#VALUE!</v>
      </c>
      <c r="B147" s="155" t="str">
        <f t="shared" si="40"/>
        <v/>
      </c>
      <c r="C147" s="15" t="str">
        <f t="shared" si="38"/>
        <v/>
      </c>
      <c r="D147" s="123" t="str">
        <f t="shared" si="26"/>
        <v/>
      </c>
      <c r="E147" s="123" t="str">
        <f t="shared" si="22"/>
        <v/>
      </c>
      <c r="F147" s="123" t="str">
        <f t="shared" si="41"/>
        <v/>
      </c>
      <c r="G147" s="123" t="str">
        <f t="shared" si="42"/>
        <v/>
      </c>
      <c r="H147" s="15" t="e">
        <f t="shared" si="28"/>
        <v>#VALUE!</v>
      </c>
      <c r="I147" s="15" t="e">
        <f t="shared" si="23"/>
        <v>#DIV/0!</v>
      </c>
      <c r="J147" s="10">
        <f t="shared" si="39"/>
        <v>0</v>
      </c>
    </row>
    <row r="148" spans="1:10" x14ac:dyDescent="0.25">
      <c r="A148" s="61" t="e">
        <f t="shared" si="21"/>
        <v>#VALUE!</v>
      </c>
      <c r="B148" s="155" t="str">
        <f t="shared" si="40"/>
        <v/>
      </c>
      <c r="C148" s="15" t="str">
        <f t="shared" si="38"/>
        <v/>
      </c>
      <c r="D148" s="123" t="str">
        <f t="shared" si="26"/>
        <v/>
      </c>
      <c r="E148" s="123" t="str">
        <f t="shared" si="22"/>
        <v/>
      </c>
      <c r="F148" s="123" t="str">
        <f t="shared" si="41"/>
        <v/>
      </c>
      <c r="G148" s="123" t="str">
        <f t="shared" si="42"/>
        <v/>
      </c>
      <c r="H148" s="15" t="e">
        <f t="shared" si="28"/>
        <v>#VALUE!</v>
      </c>
      <c r="I148" s="15" t="e">
        <f t="shared" si="23"/>
        <v>#DIV/0!</v>
      </c>
      <c r="J148" s="10">
        <f t="shared" si="39"/>
        <v>0</v>
      </c>
    </row>
    <row r="149" spans="1:10" x14ac:dyDescent="0.25">
      <c r="A149" s="61" t="e">
        <f t="shared" si="21"/>
        <v>#VALUE!</v>
      </c>
      <c r="B149" s="155" t="str">
        <f t="shared" si="40"/>
        <v/>
      </c>
      <c r="C149" s="15" t="str">
        <f t="shared" si="38"/>
        <v/>
      </c>
      <c r="D149" s="123" t="str">
        <f t="shared" si="26"/>
        <v/>
      </c>
      <c r="E149" s="123" t="str">
        <f t="shared" si="22"/>
        <v/>
      </c>
      <c r="F149" s="123" t="str">
        <f t="shared" si="41"/>
        <v/>
      </c>
      <c r="G149" s="123" t="str">
        <f t="shared" si="42"/>
        <v/>
      </c>
      <c r="H149" s="15" t="e">
        <f t="shared" si="28"/>
        <v>#VALUE!</v>
      </c>
      <c r="I149" s="15" t="e">
        <f t="shared" si="23"/>
        <v>#DIV/0!</v>
      </c>
      <c r="J149" s="10">
        <f t="shared" si="39"/>
        <v>0</v>
      </c>
    </row>
    <row r="150" spans="1:10" x14ac:dyDescent="0.25">
      <c r="A150" s="61" t="e">
        <f t="shared" ref="A150:A213" si="43">DATE(YEAR(A$1),MONTH(A$1)+A$4*(C150-A$2),DAY(A$1))+A$3</f>
        <v>#VALUE!</v>
      </c>
      <c r="B150" s="155" t="str">
        <f t="shared" si="40"/>
        <v/>
      </c>
      <c r="C150" s="15" t="str">
        <f t="shared" si="38"/>
        <v/>
      </c>
      <c r="D150" s="123" t="str">
        <f t="shared" si="26"/>
        <v/>
      </c>
      <c r="E150" s="123" t="str">
        <f t="shared" ref="E150:E213" si="44">IF(C148=$A$5,K$5,IF(C150="","",IF(OR(C150=J$12,AND(C150&gt;=J$11,C150&lt;=J$12)),0,IF(A$10=2,F150-D150,IF(I150&gt;0,I150,H150)+J150))))</f>
        <v/>
      </c>
      <c r="F150" s="123" t="str">
        <f t="shared" si="41"/>
        <v/>
      </c>
      <c r="G150" s="123" t="str">
        <f t="shared" si="42"/>
        <v/>
      </c>
      <c r="H150" s="15" t="e">
        <f t="shared" si="28"/>
        <v>#VALUE!</v>
      </c>
      <c r="I150" s="15" t="e">
        <f t="shared" ref="I150:I213" si="45">IF(C150&lt;=H$7,0,(((H$3-D$11)/(100*D$12))*((1+(D$11/(100*D$12)))^(C149-H$7)))*H$2)</f>
        <v>#DIV/0!</v>
      </c>
      <c r="J150" s="10">
        <f t="shared" ref="J150:J165" si="46">IF(C150=H$7,I$17-IF(J$16=1,H150,0)-IF(A$10=2,J$20,0),0)</f>
        <v>0</v>
      </c>
    </row>
    <row r="151" spans="1:10" x14ac:dyDescent="0.25">
      <c r="A151" s="61" t="e">
        <f t="shared" si="43"/>
        <v>#VALUE!</v>
      </c>
      <c r="B151" s="155" t="str">
        <f t="shared" si="40"/>
        <v/>
      </c>
      <c r="C151" s="15" t="str">
        <f t="shared" si="38"/>
        <v/>
      </c>
      <c r="D151" s="123" t="str">
        <f t="shared" ref="D151:D214" si="47">IF(C149=A$5,K$4,IF(C151="","",ROUND((G150-IF(D$13=1,E151,0))*A$6-IF(C151=H$7,J$20,0),A$10)))</f>
        <v/>
      </c>
      <c r="E151" s="123" t="str">
        <f t="shared" si="44"/>
        <v/>
      </c>
      <c r="F151" s="123" t="str">
        <f t="shared" si="41"/>
        <v/>
      </c>
      <c r="G151" s="123" t="str">
        <f t="shared" si="42"/>
        <v/>
      </c>
      <c r="H151" s="15" t="e">
        <f t="shared" ref="H151:H214" si="48">IF(C151&gt;$D$16,((($H$9-$D$11)/(100*$D$12))*((1+($D$11/(100*$D$12)))^(C150-$D$16)))*$D$9,0)</f>
        <v>#VALUE!</v>
      </c>
      <c r="I151" s="15" t="e">
        <f t="shared" si="45"/>
        <v>#DIV/0!</v>
      </c>
      <c r="J151" s="10">
        <f t="shared" si="46"/>
        <v>0</v>
      </c>
    </row>
    <row r="152" spans="1:10" x14ac:dyDescent="0.25">
      <c r="A152" s="61" t="e">
        <f t="shared" si="43"/>
        <v>#VALUE!</v>
      </c>
      <c r="B152" s="155" t="str">
        <f t="shared" ref="B152:B167" si="49">IF(OR($I$8=1,C152=""),"",IF(D$12=360,B151+1,IF(DAY(A152)&lt;DAY($A$1),A152-DAY(A152),A152)))</f>
        <v/>
      </c>
      <c r="C152" s="15" t="str">
        <f t="shared" si="38"/>
        <v/>
      </c>
      <c r="D152" s="123" t="str">
        <f t="shared" si="47"/>
        <v/>
      </c>
      <c r="E152" s="123" t="str">
        <f t="shared" si="44"/>
        <v/>
      </c>
      <c r="F152" s="123" t="str">
        <f t="shared" ref="F152:F167" si="50">IF(C152="","",IF(OR(D$16&gt;=C152,OR(C152=J$12,AND(C152&gt;=J$11,C152&lt;=J$12))),D152,IF(A$10=2,IF(I152&gt;0,H$17,H$16)+J152,D152+E152)))</f>
        <v/>
      </c>
      <c r="G152" s="123" t="str">
        <f t="shared" si="42"/>
        <v/>
      </c>
      <c r="H152" s="15" t="e">
        <f t="shared" si="48"/>
        <v>#VALUE!</v>
      </c>
      <c r="I152" s="15" t="e">
        <f t="shared" si="45"/>
        <v>#DIV/0!</v>
      </c>
      <c r="J152" s="10">
        <f t="shared" si="46"/>
        <v>0</v>
      </c>
    </row>
    <row r="153" spans="1:10" x14ac:dyDescent="0.25">
      <c r="A153" s="61" t="e">
        <f t="shared" si="43"/>
        <v>#VALUE!</v>
      </c>
      <c r="B153" s="155" t="str">
        <f t="shared" si="49"/>
        <v/>
      </c>
      <c r="C153" s="15" t="str">
        <f t="shared" si="38"/>
        <v/>
      </c>
      <c r="D153" s="123" t="str">
        <f t="shared" si="47"/>
        <v/>
      </c>
      <c r="E153" s="123" t="str">
        <f t="shared" si="44"/>
        <v/>
      </c>
      <c r="F153" s="123" t="str">
        <f t="shared" si="50"/>
        <v/>
      </c>
      <c r="G153" s="123" t="str">
        <f t="shared" si="42"/>
        <v/>
      </c>
      <c r="H153" s="15" t="e">
        <f t="shared" si="48"/>
        <v>#VALUE!</v>
      </c>
      <c r="I153" s="15" t="e">
        <f t="shared" si="45"/>
        <v>#DIV/0!</v>
      </c>
      <c r="J153" s="10">
        <f t="shared" si="46"/>
        <v>0</v>
      </c>
    </row>
    <row r="154" spans="1:10" x14ac:dyDescent="0.25">
      <c r="A154" s="61" t="e">
        <f t="shared" si="43"/>
        <v>#VALUE!</v>
      </c>
      <c r="B154" s="155" t="str">
        <f t="shared" si="49"/>
        <v/>
      </c>
      <c r="C154" s="15" t="str">
        <f t="shared" si="38"/>
        <v/>
      </c>
      <c r="D154" s="123" t="str">
        <f t="shared" si="47"/>
        <v/>
      </c>
      <c r="E154" s="123" t="str">
        <f t="shared" si="44"/>
        <v/>
      </c>
      <c r="F154" s="123" t="str">
        <f t="shared" si="50"/>
        <v/>
      </c>
      <c r="G154" s="123" t="str">
        <f t="shared" si="42"/>
        <v/>
      </c>
      <c r="H154" s="15" t="e">
        <f t="shared" si="48"/>
        <v>#VALUE!</v>
      </c>
      <c r="I154" s="15" t="e">
        <f t="shared" si="45"/>
        <v>#DIV/0!</v>
      </c>
      <c r="J154" s="10">
        <f t="shared" si="46"/>
        <v>0</v>
      </c>
    </row>
    <row r="155" spans="1:10" x14ac:dyDescent="0.25">
      <c r="A155" s="61" t="e">
        <f t="shared" si="43"/>
        <v>#VALUE!</v>
      </c>
      <c r="B155" s="155" t="str">
        <f t="shared" si="49"/>
        <v/>
      </c>
      <c r="C155" s="15" t="str">
        <f t="shared" si="38"/>
        <v/>
      </c>
      <c r="D155" s="123" t="str">
        <f t="shared" si="47"/>
        <v/>
      </c>
      <c r="E155" s="123" t="str">
        <f t="shared" si="44"/>
        <v/>
      </c>
      <c r="F155" s="123" t="str">
        <f t="shared" si="50"/>
        <v/>
      </c>
      <c r="G155" s="123" t="str">
        <f t="shared" si="42"/>
        <v/>
      </c>
      <c r="H155" s="15" t="e">
        <f t="shared" si="48"/>
        <v>#VALUE!</v>
      </c>
      <c r="I155" s="15" t="e">
        <f t="shared" si="45"/>
        <v>#DIV/0!</v>
      </c>
      <c r="J155" s="10">
        <f t="shared" si="46"/>
        <v>0</v>
      </c>
    </row>
    <row r="156" spans="1:10" x14ac:dyDescent="0.25">
      <c r="A156" s="61" t="e">
        <f t="shared" si="43"/>
        <v>#VALUE!</v>
      </c>
      <c r="B156" s="155" t="str">
        <f t="shared" si="49"/>
        <v/>
      </c>
      <c r="C156" s="15" t="str">
        <f>IF($B$4="r","(FW)  frodnereD ,EKCIRF retlaW", IF(OR(C155&gt;=$A$5,C155=""),"",C155+1))</f>
        <v/>
      </c>
      <c r="D156" s="123" t="str">
        <f t="shared" si="47"/>
        <v/>
      </c>
      <c r="E156" s="123" t="str">
        <f t="shared" si="44"/>
        <v/>
      </c>
      <c r="F156" s="123" t="str">
        <f t="shared" si="50"/>
        <v/>
      </c>
      <c r="G156" s="123" t="str">
        <f t="shared" si="42"/>
        <v/>
      </c>
      <c r="H156" s="15" t="e">
        <f t="shared" si="48"/>
        <v>#VALUE!</v>
      </c>
      <c r="I156" s="15" t="e">
        <f t="shared" si="45"/>
        <v>#DIV/0!</v>
      </c>
      <c r="J156" s="10">
        <f t="shared" si="46"/>
        <v>0</v>
      </c>
    </row>
    <row r="157" spans="1:10" x14ac:dyDescent="0.25">
      <c r="A157" s="61" t="e">
        <f t="shared" si="43"/>
        <v>#VALUE!</v>
      </c>
      <c r="B157" s="155" t="str">
        <f t="shared" si="49"/>
        <v/>
      </c>
      <c r="C157" s="15" t="str">
        <f t="shared" ref="C157:C188" si="51">IF(OR(C156&gt;=$A$5,C156=""),"",C156+1)</f>
        <v/>
      </c>
      <c r="D157" s="123" t="str">
        <f t="shared" si="47"/>
        <v/>
      </c>
      <c r="E157" s="123" t="str">
        <f t="shared" si="44"/>
        <v/>
      </c>
      <c r="F157" s="123" t="str">
        <f t="shared" si="50"/>
        <v/>
      </c>
      <c r="G157" s="123" t="str">
        <f t="shared" si="42"/>
        <v/>
      </c>
      <c r="H157" s="15" t="e">
        <f t="shared" si="48"/>
        <v>#VALUE!</v>
      </c>
      <c r="I157" s="15" t="e">
        <f t="shared" si="45"/>
        <v>#DIV/0!</v>
      </c>
      <c r="J157" s="10">
        <f t="shared" si="46"/>
        <v>0</v>
      </c>
    </row>
    <row r="158" spans="1:10" x14ac:dyDescent="0.25">
      <c r="A158" s="61" t="e">
        <f t="shared" si="43"/>
        <v>#VALUE!</v>
      </c>
      <c r="B158" s="155" t="str">
        <f t="shared" si="49"/>
        <v/>
      </c>
      <c r="C158" s="15" t="str">
        <f t="shared" si="51"/>
        <v/>
      </c>
      <c r="D158" s="123" t="str">
        <f t="shared" si="47"/>
        <v/>
      </c>
      <c r="E158" s="123" t="str">
        <f t="shared" si="44"/>
        <v/>
      </c>
      <c r="F158" s="123" t="str">
        <f t="shared" si="50"/>
        <v/>
      </c>
      <c r="G158" s="123" t="str">
        <f t="shared" si="42"/>
        <v/>
      </c>
      <c r="H158" s="15" t="e">
        <f t="shared" si="48"/>
        <v>#VALUE!</v>
      </c>
      <c r="I158" s="15" t="e">
        <f t="shared" si="45"/>
        <v>#DIV/0!</v>
      </c>
      <c r="J158" s="10">
        <f t="shared" si="46"/>
        <v>0</v>
      </c>
    </row>
    <row r="159" spans="1:10" x14ac:dyDescent="0.25">
      <c r="A159" s="61" t="e">
        <f t="shared" si="43"/>
        <v>#VALUE!</v>
      </c>
      <c r="B159" s="155" t="str">
        <f t="shared" si="49"/>
        <v/>
      </c>
      <c r="C159" s="15" t="str">
        <f t="shared" si="51"/>
        <v/>
      </c>
      <c r="D159" s="123" t="str">
        <f t="shared" si="47"/>
        <v/>
      </c>
      <c r="E159" s="123" t="str">
        <f t="shared" si="44"/>
        <v/>
      </c>
      <c r="F159" s="123" t="str">
        <f t="shared" si="50"/>
        <v/>
      </c>
      <c r="G159" s="123" t="str">
        <f t="shared" si="42"/>
        <v/>
      </c>
      <c r="H159" s="15" t="e">
        <f t="shared" si="48"/>
        <v>#VALUE!</v>
      </c>
      <c r="I159" s="15" t="e">
        <f t="shared" si="45"/>
        <v>#DIV/0!</v>
      </c>
      <c r="J159" s="10">
        <f t="shared" si="46"/>
        <v>0</v>
      </c>
    </row>
    <row r="160" spans="1:10" x14ac:dyDescent="0.25">
      <c r="A160" s="61" t="e">
        <f t="shared" si="43"/>
        <v>#VALUE!</v>
      </c>
      <c r="B160" s="155" t="str">
        <f t="shared" si="49"/>
        <v/>
      </c>
      <c r="C160" s="15" t="str">
        <f t="shared" si="51"/>
        <v/>
      </c>
      <c r="D160" s="123" t="str">
        <f t="shared" si="47"/>
        <v/>
      </c>
      <c r="E160" s="123" t="str">
        <f t="shared" si="44"/>
        <v/>
      </c>
      <c r="F160" s="123" t="str">
        <f t="shared" si="50"/>
        <v/>
      </c>
      <c r="G160" s="123" t="str">
        <f t="shared" si="42"/>
        <v/>
      </c>
      <c r="H160" s="15" t="e">
        <f t="shared" si="48"/>
        <v>#VALUE!</v>
      </c>
      <c r="I160" s="15" t="e">
        <f t="shared" si="45"/>
        <v>#DIV/0!</v>
      </c>
      <c r="J160" s="10">
        <f t="shared" si="46"/>
        <v>0</v>
      </c>
    </row>
    <row r="161" spans="1:10" x14ac:dyDescent="0.25">
      <c r="A161" s="61" t="e">
        <f t="shared" si="43"/>
        <v>#VALUE!</v>
      </c>
      <c r="B161" s="155" t="str">
        <f t="shared" si="49"/>
        <v/>
      </c>
      <c r="C161" s="15" t="str">
        <f t="shared" si="51"/>
        <v/>
      </c>
      <c r="D161" s="123" t="str">
        <f t="shared" si="47"/>
        <v/>
      </c>
      <c r="E161" s="123" t="str">
        <f t="shared" si="44"/>
        <v/>
      </c>
      <c r="F161" s="123" t="str">
        <f t="shared" si="50"/>
        <v/>
      </c>
      <c r="G161" s="123" t="str">
        <f t="shared" si="42"/>
        <v/>
      </c>
      <c r="H161" s="15" t="e">
        <f t="shared" si="48"/>
        <v>#VALUE!</v>
      </c>
      <c r="I161" s="15" t="e">
        <f t="shared" si="45"/>
        <v>#DIV/0!</v>
      </c>
      <c r="J161" s="10">
        <f t="shared" si="46"/>
        <v>0</v>
      </c>
    </row>
    <row r="162" spans="1:10" x14ac:dyDescent="0.25">
      <c r="A162" s="61" t="e">
        <f t="shared" si="43"/>
        <v>#VALUE!</v>
      </c>
      <c r="B162" s="155" t="str">
        <f t="shared" si="49"/>
        <v/>
      </c>
      <c r="C162" s="15" t="str">
        <f t="shared" si="51"/>
        <v/>
      </c>
      <c r="D162" s="123" t="str">
        <f t="shared" si="47"/>
        <v/>
      </c>
      <c r="E162" s="123" t="str">
        <f t="shared" si="44"/>
        <v/>
      </c>
      <c r="F162" s="123" t="str">
        <f t="shared" si="50"/>
        <v/>
      </c>
      <c r="G162" s="123" t="str">
        <f t="shared" si="42"/>
        <v/>
      </c>
      <c r="H162" s="15" t="e">
        <f t="shared" si="48"/>
        <v>#VALUE!</v>
      </c>
      <c r="I162" s="15" t="e">
        <f t="shared" si="45"/>
        <v>#DIV/0!</v>
      </c>
      <c r="J162" s="10">
        <f t="shared" si="46"/>
        <v>0</v>
      </c>
    </row>
    <row r="163" spans="1:10" x14ac:dyDescent="0.25">
      <c r="A163" s="61" t="e">
        <f t="shared" si="43"/>
        <v>#VALUE!</v>
      </c>
      <c r="B163" s="155" t="str">
        <f t="shared" si="49"/>
        <v/>
      </c>
      <c r="C163" s="15" t="str">
        <f t="shared" si="51"/>
        <v/>
      </c>
      <c r="D163" s="123" t="str">
        <f t="shared" si="47"/>
        <v/>
      </c>
      <c r="E163" s="123" t="str">
        <f t="shared" si="44"/>
        <v/>
      </c>
      <c r="F163" s="123" t="str">
        <f t="shared" si="50"/>
        <v/>
      </c>
      <c r="G163" s="123" t="str">
        <f t="shared" si="42"/>
        <v/>
      </c>
      <c r="H163" s="15" t="e">
        <f t="shared" si="48"/>
        <v>#VALUE!</v>
      </c>
      <c r="I163" s="15" t="e">
        <f t="shared" si="45"/>
        <v>#DIV/0!</v>
      </c>
      <c r="J163" s="10">
        <f t="shared" si="46"/>
        <v>0</v>
      </c>
    </row>
    <row r="164" spans="1:10" x14ac:dyDescent="0.25">
      <c r="A164" s="61" t="e">
        <f t="shared" si="43"/>
        <v>#VALUE!</v>
      </c>
      <c r="B164" s="155" t="str">
        <f t="shared" si="49"/>
        <v/>
      </c>
      <c r="C164" s="15" t="str">
        <f t="shared" si="51"/>
        <v/>
      </c>
      <c r="D164" s="123" t="str">
        <f t="shared" si="47"/>
        <v/>
      </c>
      <c r="E164" s="123" t="str">
        <f t="shared" si="44"/>
        <v/>
      </c>
      <c r="F164" s="123" t="str">
        <f t="shared" si="50"/>
        <v/>
      </c>
      <c r="G164" s="123" t="str">
        <f t="shared" si="42"/>
        <v/>
      </c>
      <c r="H164" s="15" t="e">
        <f t="shared" si="48"/>
        <v>#VALUE!</v>
      </c>
      <c r="I164" s="15" t="e">
        <f t="shared" si="45"/>
        <v>#DIV/0!</v>
      </c>
      <c r="J164" s="10">
        <f t="shared" si="46"/>
        <v>0</v>
      </c>
    </row>
    <row r="165" spans="1:10" x14ac:dyDescent="0.25">
      <c r="A165" s="61" t="e">
        <f t="shared" si="43"/>
        <v>#VALUE!</v>
      </c>
      <c r="B165" s="155" t="str">
        <f t="shared" si="49"/>
        <v/>
      </c>
      <c r="C165" s="15" t="str">
        <f t="shared" si="51"/>
        <v/>
      </c>
      <c r="D165" s="123" t="str">
        <f t="shared" si="47"/>
        <v/>
      </c>
      <c r="E165" s="123" t="str">
        <f t="shared" si="44"/>
        <v/>
      </c>
      <c r="F165" s="123" t="str">
        <f t="shared" si="50"/>
        <v/>
      </c>
      <c r="G165" s="123" t="str">
        <f t="shared" si="42"/>
        <v/>
      </c>
      <c r="H165" s="15" t="e">
        <f t="shared" si="48"/>
        <v>#VALUE!</v>
      </c>
      <c r="I165" s="15" t="e">
        <f t="shared" si="45"/>
        <v>#DIV/0!</v>
      </c>
      <c r="J165" s="10">
        <f t="shared" si="46"/>
        <v>0</v>
      </c>
    </row>
    <row r="166" spans="1:10" x14ac:dyDescent="0.25">
      <c r="A166" s="61" t="e">
        <f t="shared" si="43"/>
        <v>#VALUE!</v>
      </c>
      <c r="B166" s="155" t="str">
        <f t="shared" si="49"/>
        <v/>
      </c>
      <c r="C166" s="15" t="str">
        <f t="shared" si="51"/>
        <v/>
      </c>
      <c r="D166" s="123" t="str">
        <f t="shared" si="47"/>
        <v/>
      </c>
      <c r="E166" s="123" t="str">
        <f t="shared" si="44"/>
        <v/>
      </c>
      <c r="F166" s="123" t="str">
        <f t="shared" si="50"/>
        <v/>
      </c>
      <c r="G166" s="123" t="str">
        <f t="shared" si="42"/>
        <v/>
      </c>
      <c r="H166" s="15" t="e">
        <f t="shared" si="48"/>
        <v>#VALUE!</v>
      </c>
      <c r="I166" s="15" t="e">
        <f t="shared" si="45"/>
        <v>#DIV/0!</v>
      </c>
      <c r="J166" s="10">
        <f t="shared" ref="J166:J181" si="52">IF(C166=H$7,I$17-IF(J$16=1,H166,0)-IF(A$10=2,J$20,0),0)</f>
        <v>0</v>
      </c>
    </row>
    <row r="167" spans="1:10" x14ac:dyDescent="0.25">
      <c r="A167" s="61" t="e">
        <f t="shared" si="43"/>
        <v>#VALUE!</v>
      </c>
      <c r="B167" s="155" t="str">
        <f t="shared" si="49"/>
        <v/>
      </c>
      <c r="C167" s="15" t="str">
        <f t="shared" si="51"/>
        <v/>
      </c>
      <c r="D167" s="123" t="str">
        <f t="shared" si="47"/>
        <v/>
      </c>
      <c r="E167" s="123" t="str">
        <f t="shared" si="44"/>
        <v/>
      </c>
      <c r="F167" s="123" t="str">
        <f t="shared" si="50"/>
        <v/>
      </c>
      <c r="G167" s="123" t="str">
        <f t="shared" si="42"/>
        <v/>
      </c>
      <c r="H167" s="15" t="e">
        <f t="shared" si="48"/>
        <v>#VALUE!</v>
      </c>
      <c r="I167" s="15" t="e">
        <f t="shared" si="45"/>
        <v>#DIV/0!</v>
      </c>
      <c r="J167" s="10">
        <f t="shared" si="52"/>
        <v>0</v>
      </c>
    </row>
    <row r="168" spans="1:10" x14ac:dyDescent="0.25">
      <c r="A168" s="61" t="e">
        <f t="shared" si="43"/>
        <v>#VALUE!</v>
      </c>
      <c r="B168" s="155" t="str">
        <f t="shared" ref="B168:B183" si="53">IF(OR($I$8=1,C168=""),"",IF(D$12=360,B167+1,IF(DAY(A168)&lt;DAY($A$1),A168-DAY(A168),A168)))</f>
        <v/>
      </c>
      <c r="C168" s="15" t="str">
        <f t="shared" si="51"/>
        <v/>
      </c>
      <c r="D168" s="123" t="str">
        <f t="shared" si="47"/>
        <v/>
      </c>
      <c r="E168" s="123" t="str">
        <f t="shared" si="44"/>
        <v/>
      </c>
      <c r="F168" s="123" t="str">
        <f t="shared" ref="F168:F183" si="54">IF(C168="","",IF(OR(D$16&gt;=C168,OR(C168=J$12,AND(C168&gt;=J$11,C168&lt;=J$12))),D168,IF(A$10=2,IF(I168&gt;0,H$17,H$16)+J168,D168+E168)))</f>
        <v/>
      </c>
      <c r="G168" s="123" t="str">
        <f t="shared" si="42"/>
        <v/>
      </c>
      <c r="H168" s="15" t="e">
        <f t="shared" si="48"/>
        <v>#VALUE!</v>
      </c>
      <c r="I168" s="15" t="e">
        <f t="shared" si="45"/>
        <v>#DIV/0!</v>
      </c>
      <c r="J168" s="10">
        <f t="shared" si="52"/>
        <v>0</v>
      </c>
    </row>
    <row r="169" spans="1:10" x14ac:dyDescent="0.25">
      <c r="A169" s="61" t="e">
        <f t="shared" si="43"/>
        <v>#VALUE!</v>
      </c>
      <c r="B169" s="155" t="str">
        <f t="shared" si="53"/>
        <v/>
      </c>
      <c r="C169" s="15" t="str">
        <f t="shared" si="51"/>
        <v/>
      </c>
      <c r="D169" s="123" t="str">
        <f t="shared" si="47"/>
        <v/>
      </c>
      <c r="E169" s="123" t="str">
        <f t="shared" si="44"/>
        <v/>
      </c>
      <c r="F169" s="123" t="str">
        <f t="shared" si="54"/>
        <v/>
      </c>
      <c r="G169" s="123" t="str">
        <f t="shared" si="42"/>
        <v/>
      </c>
      <c r="H169" s="15" t="e">
        <f t="shared" si="48"/>
        <v>#VALUE!</v>
      </c>
      <c r="I169" s="15" t="e">
        <f t="shared" si="45"/>
        <v>#DIV/0!</v>
      </c>
      <c r="J169" s="10">
        <f t="shared" si="52"/>
        <v>0</v>
      </c>
    </row>
    <row r="170" spans="1:10" x14ac:dyDescent="0.25">
      <c r="A170" s="61" t="e">
        <f t="shared" si="43"/>
        <v>#VALUE!</v>
      </c>
      <c r="B170" s="155" t="str">
        <f t="shared" si="53"/>
        <v/>
      </c>
      <c r="C170" s="15" t="str">
        <f t="shared" si="51"/>
        <v/>
      </c>
      <c r="D170" s="123" t="str">
        <f t="shared" si="47"/>
        <v/>
      </c>
      <c r="E170" s="123" t="str">
        <f t="shared" si="44"/>
        <v/>
      </c>
      <c r="F170" s="123" t="str">
        <f t="shared" si="54"/>
        <v/>
      </c>
      <c r="G170" s="123" t="str">
        <f t="shared" si="42"/>
        <v/>
      </c>
      <c r="H170" s="15" t="e">
        <f t="shared" si="48"/>
        <v>#VALUE!</v>
      </c>
      <c r="I170" s="15" t="e">
        <f t="shared" si="45"/>
        <v>#DIV/0!</v>
      </c>
      <c r="J170" s="10">
        <f t="shared" si="52"/>
        <v>0</v>
      </c>
    </row>
    <row r="171" spans="1:10" x14ac:dyDescent="0.25">
      <c r="A171" s="61" t="e">
        <f t="shared" si="43"/>
        <v>#VALUE!</v>
      </c>
      <c r="B171" s="155" t="str">
        <f t="shared" si="53"/>
        <v/>
      </c>
      <c r="C171" s="15" t="str">
        <f t="shared" si="51"/>
        <v/>
      </c>
      <c r="D171" s="123" t="str">
        <f t="shared" si="47"/>
        <v/>
      </c>
      <c r="E171" s="123" t="str">
        <f t="shared" si="44"/>
        <v/>
      </c>
      <c r="F171" s="123" t="str">
        <f t="shared" si="54"/>
        <v/>
      </c>
      <c r="G171" s="123" t="str">
        <f t="shared" si="42"/>
        <v/>
      </c>
      <c r="H171" s="15" t="e">
        <f t="shared" si="48"/>
        <v>#VALUE!</v>
      </c>
      <c r="I171" s="15" t="e">
        <f t="shared" si="45"/>
        <v>#DIV/0!</v>
      </c>
      <c r="J171" s="10">
        <f t="shared" si="52"/>
        <v>0</v>
      </c>
    </row>
    <row r="172" spans="1:10" x14ac:dyDescent="0.25">
      <c r="A172" s="61" t="e">
        <f t="shared" si="43"/>
        <v>#VALUE!</v>
      </c>
      <c r="B172" s="155" t="str">
        <f t="shared" si="53"/>
        <v/>
      </c>
      <c r="C172" s="15" t="str">
        <f t="shared" si="51"/>
        <v/>
      </c>
      <c r="D172" s="123" t="str">
        <f t="shared" si="47"/>
        <v/>
      </c>
      <c r="E172" s="123" t="str">
        <f t="shared" si="44"/>
        <v/>
      </c>
      <c r="F172" s="123" t="str">
        <f t="shared" si="54"/>
        <v/>
      </c>
      <c r="G172" s="123" t="str">
        <f t="shared" si="42"/>
        <v/>
      </c>
      <c r="H172" s="15" t="e">
        <f t="shared" si="48"/>
        <v>#VALUE!</v>
      </c>
      <c r="I172" s="15" t="e">
        <f t="shared" si="45"/>
        <v>#DIV/0!</v>
      </c>
      <c r="J172" s="10">
        <f t="shared" si="52"/>
        <v>0</v>
      </c>
    </row>
    <row r="173" spans="1:10" x14ac:dyDescent="0.25">
      <c r="A173" s="61" t="e">
        <f t="shared" si="43"/>
        <v>#VALUE!</v>
      </c>
      <c r="B173" s="155" t="str">
        <f t="shared" si="53"/>
        <v/>
      </c>
      <c r="C173" s="15" t="str">
        <f t="shared" si="51"/>
        <v/>
      </c>
      <c r="D173" s="123" t="str">
        <f t="shared" si="47"/>
        <v/>
      </c>
      <c r="E173" s="123" t="str">
        <f t="shared" si="44"/>
        <v/>
      </c>
      <c r="F173" s="123" t="str">
        <f t="shared" si="54"/>
        <v/>
      </c>
      <c r="G173" s="123" t="str">
        <f t="shared" si="42"/>
        <v/>
      </c>
      <c r="H173" s="15" t="e">
        <f t="shared" si="48"/>
        <v>#VALUE!</v>
      </c>
      <c r="I173" s="15" t="e">
        <f t="shared" si="45"/>
        <v>#DIV/0!</v>
      </c>
      <c r="J173" s="10">
        <f t="shared" si="52"/>
        <v>0</v>
      </c>
    </row>
    <row r="174" spans="1:10" x14ac:dyDescent="0.25">
      <c r="A174" s="61" t="e">
        <f t="shared" si="43"/>
        <v>#VALUE!</v>
      </c>
      <c r="B174" s="155" t="str">
        <f t="shared" si="53"/>
        <v/>
      </c>
      <c r="C174" s="15" t="str">
        <f t="shared" si="51"/>
        <v/>
      </c>
      <c r="D174" s="123" t="str">
        <f t="shared" si="47"/>
        <v/>
      </c>
      <c r="E174" s="123" t="str">
        <f t="shared" si="44"/>
        <v/>
      </c>
      <c r="F174" s="123" t="str">
        <f t="shared" si="54"/>
        <v/>
      </c>
      <c r="G174" s="123" t="str">
        <f t="shared" si="42"/>
        <v/>
      </c>
      <c r="H174" s="15" t="e">
        <f t="shared" si="48"/>
        <v>#VALUE!</v>
      </c>
      <c r="I174" s="15" t="e">
        <f t="shared" si="45"/>
        <v>#DIV/0!</v>
      </c>
      <c r="J174" s="10">
        <f t="shared" si="52"/>
        <v>0</v>
      </c>
    </row>
    <row r="175" spans="1:10" x14ac:dyDescent="0.25">
      <c r="A175" s="61" t="e">
        <f t="shared" si="43"/>
        <v>#VALUE!</v>
      </c>
      <c r="B175" s="155" t="str">
        <f t="shared" si="53"/>
        <v/>
      </c>
      <c r="C175" s="15" t="str">
        <f t="shared" si="51"/>
        <v/>
      </c>
      <c r="D175" s="123" t="str">
        <f t="shared" si="47"/>
        <v/>
      </c>
      <c r="E175" s="123" t="str">
        <f t="shared" si="44"/>
        <v/>
      </c>
      <c r="F175" s="123" t="str">
        <f t="shared" si="54"/>
        <v/>
      </c>
      <c r="G175" s="123" t="str">
        <f t="shared" si="42"/>
        <v/>
      </c>
      <c r="H175" s="15" t="e">
        <f t="shared" si="48"/>
        <v>#VALUE!</v>
      </c>
      <c r="I175" s="15" t="e">
        <f t="shared" si="45"/>
        <v>#DIV/0!</v>
      </c>
      <c r="J175" s="10">
        <f t="shared" si="52"/>
        <v>0</v>
      </c>
    </row>
    <row r="176" spans="1:10" x14ac:dyDescent="0.25">
      <c r="A176" s="61" t="e">
        <f t="shared" si="43"/>
        <v>#VALUE!</v>
      </c>
      <c r="B176" s="155" t="str">
        <f t="shared" si="53"/>
        <v/>
      </c>
      <c r="C176" s="15" t="str">
        <f t="shared" si="51"/>
        <v/>
      </c>
      <c r="D176" s="123" t="str">
        <f t="shared" si="47"/>
        <v/>
      </c>
      <c r="E176" s="123" t="str">
        <f t="shared" si="44"/>
        <v/>
      </c>
      <c r="F176" s="123" t="str">
        <f t="shared" si="54"/>
        <v/>
      </c>
      <c r="G176" s="123" t="str">
        <f t="shared" si="42"/>
        <v/>
      </c>
      <c r="H176" s="15" t="e">
        <f t="shared" si="48"/>
        <v>#VALUE!</v>
      </c>
      <c r="I176" s="15" t="e">
        <f t="shared" si="45"/>
        <v>#DIV/0!</v>
      </c>
      <c r="J176" s="10">
        <f t="shared" si="52"/>
        <v>0</v>
      </c>
    </row>
    <row r="177" spans="1:10" x14ac:dyDescent="0.25">
      <c r="A177" s="61" t="e">
        <f t="shared" si="43"/>
        <v>#VALUE!</v>
      </c>
      <c r="B177" s="155" t="str">
        <f t="shared" si="53"/>
        <v/>
      </c>
      <c r="C177" s="15" t="str">
        <f t="shared" si="51"/>
        <v/>
      </c>
      <c r="D177" s="123" t="str">
        <f t="shared" si="47"/>
        <v/>
      </c>
      <c r="E177" s="123" t="str">
        <f t="shared" si="44"/>
        <v/>
      </c>
      <c r="F177" s="123" t="str">
        <f t="shared" si="54"/>
        <v/>
      </c>
      <c r="G177" s="123" t="str">
        <f t="shared" ref="G177:G208" si="55">IF(C177="","",G176-E177)</f>
        <v/>
      </c>
      <c r="H177" s="15" t="e">
        <f t="shared" si="48"/>
        <v>#VALUE!</v>
      </c>
      <c r="I177" s="15" t="e">
        <f t="shared" si="45"/>
        <v>#DIV/0!</v>
      </c>
      <c r="J177" s="10">
        <f t="shared" si="52"/>
        <v>0</v>
      </c>
    </row>
    <row r="178" spans="1:10" x14ac:dyDescent="0.25">
      <c r="A178" s="61" t="e">
        <f t="shared" si="43"/>
        <v>#VALUE!</v>
      </c>
      <c r="B178" s="155" t="str">
        <f t="shared" si="53"/>
        <v/>
      </c>
      <c r="C178" s="15" t="str">
        <f t="shared" si="51"/>
        <v/>
      </c>
      <c r="D178" s="123" t="str">
        <f t="shared" si="47"/>
        <v/>
      </c>
      <c r="E178" s="123" t="str">
        <f t="shared" si="44"/>
        <v/>
      </c>
      <c r="F178" s="123" t="str">
        <f t="shared" si="54"/>
        <v/>
      </c>
      <c r="G178" s="123" t="str">
        <f t="shared" si="55"/>
        <v/>
      </c>
      <c r="H178" s="15" t="e">
        <f t="shared" si="48"/>
        <v>#VALUE!</v>
      </c>
      <c r="I178" s="15" t="e">
        <f t="shared" si="45"/>
        <v>#DIV/0!</v>
      </c>
      <c r="J178" s="10">
        <f t="shared" si="52"/>
        <v>0</v>
      </c>
    </row>
    <row r="179" spans="1:10" x14ac:dyDescent="0.25">
      <c r="A179" s="61" t="e">
        <f t="shared" si="43"/>
        <v>#VALUE!</v>
      </c>
      <c r="B179" s="155" t="str">
        <f t="shared" si="53"/>
        <v/>
      </c>
      <c r="C179" s="15" t="str">
        <f t="shared" si="51"/>
        <v/>
      </c>
      <c r="D179" s="123" t="str">
        <f t="shared" si="47"/>
        <v/>
      </c>
      <c r="E179" s="123" t="str">
        <f t="shared" si="44"/>
        <v/>
      </c>
      <c r="F179" s="123" t="str">
        <f t="shared" si="54"/>
        <v/>
      </c>
      <c r="G179" s="123" t="str">
        <f t="shared" si="55"/>
        <v/>
      </c>
      <c r="H179" s="15" t="e">
        <f t="shared" si="48"/>
        <v>#VALUE!</v>
      </c>
      <c r="I179" s="15" t="e">
        <f t="shared" si="45"/>
        <v>#DIV/0!</v>
      </c>
      <c r="J179" s="10">
        <f t="shared" si="52"/>
        <v>0</v>
      </c>
    </row>
    <row r="180" spans="1:10" x14ac:dyDescent="0.25">
      <c r="A180" s="61" t="e">
        <f t="shared" si="43"/>
        <v>#VALUE!</v>
      </c>
      <c r="B180" s="155" t="str">
        <f t="shared" si="53"/>
        <v/>
      </c>
      <c r="C180" s="15" t="str">
        <f t="shared" si="51"/>
        <v/>
      </c>
      <c r="D180" s="123" t="str">
        <f t="shared" si="47"/>
        <v/>
      </c>
      <c r="E180" s="123" t="str">
        <f t="shared" si="44"/>
        <v/>
      </c>
      <c r="F180" s="123" t="str">
        <f t="shared" si="54"/>
        <v/>
      </c>
      <c r="G180" s="123" t="str">
        <f t="shared" si="55"/>
        <v/>
      </c>
      <c r="H180" s="15" t="e">
        <f t="shared" si="48"/>
        <v>#VALUE!</v>
      </c>
      <c r="I180" s="15" t="e">
        <f t="shared" si="45"/>
        <v>#DIV/0!</v>
      </c>
      <c r="J180" s="10">
        <f t="shared" si="52"/>
        <v>0</v>
      </c>
    </row>
    <row r="181" spans="1:10" x14ac:dyDescent="0.25">
      <c r="A181" s="61" t="e">
        <f t="shared" si="43"/>
        <v>#VALUE!</v>
      </c>
      <c r="B181" s="155" t="str">
        <f t="shared" si="53"/>
        <v/>
      </c>
      <c r="C181" s="15" t="str">
        <f t="shared" si="51"/>
        <v/>
      </c>
      <c r="D181" s="123" t="str">
        <f t="shared" si="47"/>
        <v/>
      </c>
      <c r="E181" s="123" t="str">
        <f t="shared" si="44"/>
        <v/>
      </c>
      <c r="F181" s="123" t="str">
        <f t="shared" si="54"/>
        <v/>
      </c>
      <c r="G181" s="123" t="str">
        <f t="shared" si="55"/>
        <v/>
      </c>
      <c r="H181" s="15" t="e">
        <f t="shared" si="48"/>
        <v>#VALUE!</v>
      </c>
      <c r="I181" s="15" t="e">
        <f t="shared" si="45"/>
        <v>#DIV/0!</v>
      </c>
      <c r="J181" s="10">
        <f t="shared" si="52"/>
        <v>0</v>
      </c>
    </row>
    <row r="182" spans="1:10" x14ac:dyDescent="0.25">
      <c r="A182" s="61" t="e">
        <f t="shared" si="43"/>
        <v>#VALUE!</v>
      </c>
      <c r="B182" s="155" t="str">
        <f t="shared" si="53"/>
        <v/>
      </c>
      <c r="C182" s="15" t="str">
        <f t="shared" si="51"/>
        <v/>
      </c>
      <c r="D182" s="123" t="str">
        <f t="shared" si="47"/>
        <v/>
      </c>
      <c r="E182" s="123" t="str">
        <f t="shared" si="44"/>
        <v/>
      </c>
      <c r="F182" s="123" t="str">
        <f t="shared" si="54"/>
        <v/>
      </c>
      <c r="G182" s="123" t="str">
        <f t="shared" si="55"/>
        <v/>
      </c>
      <c r="H182" s="15" t="e">
        <f t="shared" si="48"/>
        <v>#VALUE!</v>
      </c>
      <c r="I182" s="15" t="e">
        <f t="shared" si="45"/>
        <v>#DIV/0!</v>
      </c>
      <c r="J182" s="10">
        <f t="shared" ref="J182:J197" si="56">IF(C182=H$7,I$17-IF(J$16=1,H182,0)-IF(A$10=2,J$20,0),0)</f>
        <v>0</v>
      </c>
    </row>
    <row r="183" spans="1:10" x14ac:dyDescent="0.25">
      <c r="A183" s="61" t="e">
        <f t="shared" si="43"/>
        <v>#VALUE!</v>
      </c>
      <c r="B183" s="155" t="str">
        <f t="shared" si="53"/>
        <v/>
      </c>
      <c r="C183" s="15" t="str">
        <f t="shared" si="51"/>
        <v/>
      </c>
      <c r="D183" s="123" t="str">
        <f t="shared" si="47"/>
        <v/>
      </c>
      <c r="E183" s="123" t="str">
        <f t="shared" si="44"/>
        <v/>
      </c>
      <c r="F183" s="123" t="str">
        <f t="shared" si="54"/>
        <v/>
      </c>
      <c r="G183" s="123" t="str">
        <f t="shared" si="55"/>
        <v/>
      </c>
      <c r="H183" s="15" t="e">
        <f t="shared" si="48"/>
        <v>#VALUE!</v>
      </c>
      <c r="I183" s="15" t="e">
        <f t="shared" si="45"/>
        <v>#DIV/0!</v>
      </c>
      <c r="J183" s="10">
        <f t="shared" si="56"/>
        <v>0</v>
      </c>
    </row>
    <row r="184" spans="1:10" x14ac:dyDescent="0.25">
      <c r="A184" s="61" t="e">
        <f t="shared" si="43"/>
        <v>#VALUE!</v>
      </c>
      <c r="B184" s="155" t="str">
        <f t="shared" ref="B184:B199" si="57">IF(OR($I$8=1,C184=""),"",IF(D$12=360,B183+1,IF(DAY(A184)&lt;DAY($A$1),A184-DAY(A184),A184)))</f>
        <v/>
      </c>
      <c r="C184" s="15" t="str">
        <f t="shared" si="51"/>
        <v/>
      </c>
      <c r="D184" s="123" t="str">
        <f t="shared" si="47"/>
        <v/>
      </c>
      <c r="E184" s="123" t="str">
        <f t="shared" si="44"/>
        <v/>
      </c>
      <c r="F184" s="123" t="str">
        <f t="shared" ref="F184:F199" si="58">IF(C184="","",IF(OR(D$16&gt;=C184,OR(C184=J$12,AND(C184&gt;=J$11,C184&lt;=J$12))),D184,IF(A$10=2,IF(I184&gt;0,H$17,H$16)+J184,D184+E184)))</f>
        <v/>
      </c>
      <c r="G184" s="123" t="str">
        <f t="shared" si="55"/>
        <v/>
      </c>
      <c r="H184" s="15" t="e">
        <f t="shared" si="48"/>
        <v>#VALUE!</v>
      </c>
      <c r="I184" s="15" t="e">
        <f t="shared" si="45"/>
        <v>#DIV/0!</v>
      </c>
      <c r="J184" s="10">
        <f t="shared" si="56"/>
        <v>0</v>
      </c>
    </row>
    <row r="185" spans="1:10" x14ac:dyDescent="0.25">
      <c r="A185" s="61" t="e">
        <f t="shared" si="43"/>
        <v>#VALUE!</v>
      </c>
      <c r="B185" s="155" t="str">
        <f t="shared" si="57"/>
        <v/>
      </c>
      <c r="C185" s="15" t="str">
        <f t="shared" si="51"/>
        <v/>
      </c>
      <c r="D185" s="123" t="str">
        <f t="shared" si="47"/>
        <v/>
      </c>
      <c r="E185" s="123" t="str">
        <f t="shared" si="44"/>
        <v/>
      </c>
      <c r="F185" s="123" t="str">
        <f t="shared" si="58"/>
        <v/>
      </c>
      <c r="G185" s="123" t="str">
        <f t="shared" si="55"/>
        <v/>
      </c>
      <c r="H185" s="15" t="e">
        <f t="shared" si="48"/>
        <v>#VALUE!</v>
      </c>
      <c r="I185" s="15" t="e">
        <f t="shared" si="45"/>
        <v>#DIV/0!</v>
      </c>
      <c r="J185" s="10">
        <f t="shared" si="56"/>
        <v>0</v>
      </c>
    </row>
    <row r="186" spans="1:10" x14ac:dyDescent="0.25">
      <c r="A186" s="61" t="e">
        <f t="shared" si="43"/>
        <v>#VALUE!</v>
      </c>
      <c r="B186" s="155" t="str">
        <f t="shared" si="57"/>
        <v/>
      </c>
      <c r="C186" s="15" t="str">
        <f t="shared" si="51"/>
        <v/>
      </c>
      <c r="D186" s="123" t="str">
        <f t="shared" si="47"/>
        <v/>
      </c>
      <c r="E186" s="123" t="str">
        <f t="shared" si="44"/>
        <v/>
      </c>
      <c r="F186" s="123" t="str">
        <f t="shared" si="58"/>
        <v/>
      </c>
      <c r="G186" s="123" t="str">
        <f t="shared" si="55"/>
        <v/>
      </c>
      <c r="H186" s="15" t="e">
        <f t="shared" si="48"/>
        <v>#VALUE!</v>
      </c>
      <c r="I186" s="15" t="e">
        <f t="shared" si="45"/>
        <v>#DIV/0!</v>
      </c>
      <c r="J186" s="10">
        <f t="shared" si="56"/>
        <v>0</v>
      </c>
    </row>
    <row r="187" spans="1:10" x14ac:dyDescent="0.25">
      <c r="A187" s="61" t="e">
        <f t="shared" si="43"/>
        <v>#VALUE!</v>
      </c>
      <c r="B187" s="155" t="str">
        <f t="shared" si="57"/>
        <v/>
      </c>
      <c r="C187" s="15" t="str">
        <f t="shared" si="51"/>
        <v/>
      </c>
      <c r="D187" s="123" t="str">
        <f t="shared" si="47"/>
        <v/>
      </c>
      <c r="E187" s="123" t="str">
        <f t="shared" si="44"/>
        <v/>
      </c>
      <c r="F187" s="123" t="str">
        <f t="shared" si="58"/>
        <v/>
      </c>
      <c r="G187" s="123" t="str">
        <f t="shared" si="55"/>
        <v/>
      </c>
      <c r="H187" s="15" t="e">
        <f t="shared" si="48"/>
        <v>#VALUE!</v>
      </c>
      <c r="I187" s="15" t="e">
        <f t="shared" si="45"/>
        <v>#DIV/0!</v>
      </c>
      <c r="J187" s="10">
        <f t="shared" si="56"/>
        <v>0</v>
      </c>
    </row>
    <row r="188" spans="1:10" x14ac:dyDescent="0.25">
      <c r="A188" s="61" t="e">
        <f t="shared" si="43"/>
        <v>#VALUE!</v>
      </c>
      <c r="B188" s="155" t="str">
        <f t="shared" si="57"/>
        <v/>
      </c>
      <c r="C188" s="15" t="str">
        <f t="shared" si="51"/>
        <v/>
      </c>
      <c r="D188" s="123" t="str">
        <f t="shared" si="47"/>
        <v/>
      </c>
      <c r="E188" s="123" t="str">
        <f t="shared" si="44"/>
        <v/>
      </c>
      <c r="F188" s="123" t="str">
        <f t="shared" si="58"/>
        <v/>
      </c>
      <c r="G188" s="123" t="str">
        <f t="shared" si="55"/>
        <v/>
      </c>
      <c r="H188" s="15" t="e">
        <f t="shared" si="48"/>
        <v>#VALUE!</v>
      </c>
      <c r="I188" s="15" t="e">
        <f t="shared" si="45"/>
        <v>#DIV/0!</v>
      </c>
      <c r="J188" s="10">
        <f t="shared" si="56"/>
        <v>0</v>
      </c>
    </row>
    <row r="189" spans="1:10" x14ac:dyDescent="0.25">
      <c r="A189" s="61" t="e">
        <f t="shared" si="43"/>
        <v>#VALUE!</v>
      </c>
      <c r="B189" s="155" t="str">
        <f t="shared" si="57"/>
        <v/>
      </c>
      <c r="C189" s="15" t="str">
        <f t="shared" ref="C189:C220" si="59">IF(OR(C188&gt;=$A$5,C188=""),"",C188+1)</f>
        <v/>
      </c>
      <c r="D189" s="123" t="str">
        <f t="shared" si="47"/>
        <v/>
      </c>
      <c r="E189" s="123" t="str">
        <f t="shared" si="44"/>
        <v/>
      </c>
      <c r="F189" s="123" t="str">
        <f t="shared" si="58"/>
        <v/>
      </c>
      <c r="G189" s="123" t="str">
        <f t="shared" si="55"/>
        <v/>
      </c>
      <c r="H189" s="15" t="e">
        <f t="shared" si="48"/>
        <v>#VALUE!</v>
      </c>
      <c r="I189" s="15" t="e">
        <f t="shared" si="45"/>
        <v>#DIV/0!</v>
      </c>
      <c r="J189" s="10">
        <f t="shared" si="56"/>
        <v>0</v>
      </c>
    </row>
    <row r="190" spans="1:10" x14ac:dyDescent="0.25">
      <c r="A190" s="61" t="e">
        <f t="shared" si="43"/>
        <v>#VALUE!</v>
      </c>
      <c r="B190" s="155" t="str">
        <f t="shared" si="57"/>
        <v/>
      </c>
      <c r="C190" s="15" t="str">
        <f t="shared" si="59"/>
        <v/>
      </c>
      <c r="D190" s="123" t="str">
        <f t="shared" si="47"/>
        <v/>
      </c>
      <c r="E190" s="123" t="str">
        <f t="shared" si="44"/>
        <v/>
      </c>
      <c r="F190" s="123" t="str">
        <f t="shared" si="58"/>
        <v/>
      </c>
      <c r="G190" s="123" t="str">
        <f t="shared" si="55"/>
        <v/>
      </c>
      <c r="H190" s="15" t="e">
        <f t="shared" si="48"/>
        <v>#VALUE!</v>
      </c>
      <c r="I190" s="15" t="e">
        <f t="shared" si="45"/>
        <v>#DIV/0!</v>
      </c>
      <c r="J190" s="10">
        <f t="shared" si="56"/>
        <v>0</v>
      </c>
    </row>
    <row r="191" spans="1:10" x14ac:dyDescent="0.25">
      <c r="A191" s="61" t="e">
        <f t="shared" si="43"/>
        <v>#VALUE!</v>
      </c>
      <c r="B191" s="155" t="str">
        <f t="shared" si="57"/>
        <v/>
      </c>
      <c r="C191" s="15" t="str">
        <f t="shared" si="59"/>
        <v/>
      </c>
      <c r="D191" s="123" t="str">
        <f t="shared" si="47"/>
        <v/>
      </c>
      <c r="E191" s="123" t="str">
        <f t="shared" si="44"/>
        <v/>
      </c>
      <c r="F191" s="123" t="str">
        <f t="shared" si="58"/>
        <v/>
      </c>
      <c r="G191" s="123" t="str">
        <f t="shared" si="55"/>
        <v/>
      </c>
      <c r="H191" s="15" t="e">
        <f t="shared" si="48"/>
        <v>#VALUE!</v>
      </c>
      <c r="I191" s="15" t="e">
        <f t="shared" si="45"/>
        <v>#DIV/0!</v>
      </c>
      <c r="J191" s="10">
        <f t="shared" si="56"/>
        <v>0</v>
      </c>
    </row>
    <row r="192" spans="1:10" x14ac:dyDescent="0.25">
      <c r="A192" s="61" t="e">
        <f t="shared" si="43"/>
        <v>#VALUE!</v>
      </c>
      <c r="B192" s="155" t="str">
        <f t="shared" si="57"/>
        <v/>
      </c>
      <c r="C192" s="15" t="str">
        <f t="shared" si="59"/>
        <v/>
      </c>
      <c r="D192" s="123" t="str">
        <f t="shared" si="47"/>
        <v/>
      </c>
      <c r="E192" s="123" t="str">
        <f t="shared" si="44"/>
        <v/>
      </c>
      <c r="F192" s="123" t="str">
        <f t="shared" si="58"/>
        <v/>
      </c>
      <c r="G192" s="123" t="str">
        <f t="shared" si="55"/>
        <v/>
      </c>
      <c r="H192" s="15" t="e">
        <f t="shared" si="48"/>
        <v>#VALUE!</v>
      </c>
      <c r="I192" s="15" t="e">
        <f t="shared" si="45"/>
        <v>#DIV/0!</v>
      </c>
      <c r="J192" s="10">
        <f t="shared" si="56"/>
        <v>0</v>
      </c>
    </row>
    <row r="193" spans="1:10" x14ac:dyDescent="0.25">
      <c r="A193" s="61" t="e">
        <f t="shared" si="43"/>
        <v>#VALUE!</v>
      </c>
      <c r="B193" s="155" t="str">
        <f t="shared" si="57"/>
        <v/>
      </c>
      <c r="C193" s="15" t="str">
        <f t="shared" si="59"/>
        <v/>
      </c>
      <c r="D193" s="123" t="str">
        <f t="shared" si="47"/>
        <v/>
      </c>
      <c r="E193" s="123" t="str">
        <f t="shared" si="44"/>
        <v/>
      </c>
      <c r="F193" s="123" t="str">
        <f t="shared" si="58"/>
        <v/>
      </c>
      <c r="G193" s="123" t="str">
        <f t="shared" si="55"/>
        <v/>
      </c>
      <c r="H193" s="15" t="e">
        <f t="shared" si="48"/>
        <v>#VALUE!</v>
      </c>
      <c r="I193" s="15" t="e">
        <f t="shared" si="45"/>
        <v>#DIV/0!</v>
      </c>
      <c r="J193" s="10">
        <f t="shared" si="56"/>
        <v>0</v>
      </c>
    </row>
    <row r="194" spans="1:10" x14ac:dyDescent="0.25">
      <c r="A194" s="61" t="e">
        <f t="shared" si="43"/>
        <v>#VALUE!</v>
      </c>
      <c r="B194" s="155" t="str">
        <f t="shared" si="57"/>
        <v/>
      </c>
      <c r="C194" s="15" t="str">
        <f t="shared" si="59"/>
        <v/>
      </c>
      <c r="D194" s="123" t="str">
        <f t="shared" si="47"/>
        <v/>
      </c>
      <c r="E194" s="123" t="str">
        <f t="shared" si="44"/>
        <v/>
      </c>
      <c r="F194" s="123" t="str">
        <f t="shared" si="58"/>
        <v/>
      </c>
      <c r="G194" s="123" t="str">
        <f t="shared" si="55"/>
        <v/>
      </c>
      <c r="H194" s="15" t="e">
        <f t="shared" si="48"/>
        <v>#VALUE!</v>
      </c>
      <c r="I194" s="15" t="e">
        <f t="shared" si="45"/>
        <v>#DIV/0!</v>
      </c>
      <c r="J194" s="10">
        <f t="shared" si="56"/>
        <v>0</v>
      </c>
    </row>
    <row r="195" spans="1:10" x14ac:dyDescent="0.25">
      <c r="A195" s="61" t="e">
        <f t="shared" si="43"/>
        <v>#VALUE!</v>
      </c>
      <c r="B195" s="155" t="str">
        <f t="shared" si="57"/>
        <v/>
      </c>
      <c r="C195" s="15" t="str">
        <f t="shared" si="59"/>
        <v/>
      </c>
      <c r="D195" s="123" t="str">
        <f t="shared" si="47"/>
        <v/>
      </c>
      <c r="E195" s="123" t="str">
        <f t="shared" si="44"/>
        <v/>
      </c>
      <c r="F195" s="123" t="str">
        <f t="shared" si="58"/>
        <v/>
      </c>
      <c r="G195" s="123" t="str">
        <f t="shared" si="55"/>
        <v/>
      </c>
      <c r="H195" s="15" t="e">
        <f t="shared" si="48"/>
        <v>#VALUE!</v>
      </c>
      <c r="I195" s="15" t="e">
        <f t="shared" si="45"/>
        <v>#DIV/0!</v>
      </c>
      <c r="J195" s="10">
        <f t="shared" si="56"/>
        <v>0</v>
      </c>
    </row>
    <row r="196" spans="1:10" x14ac:dyDescent="0.25">
      <c r="A196" s="61" t="e">
        <f t="shared" si="43"/>
        <v>#VALUE!</v>
      </c>
      <c r="B196" s="155" t="str">
        <f t="shared" si="57"/>
        <v/>
      </c>
      <c r="C196" s="15" t="str">
        <f t="shared" si="59"/>
        <v/>
      </c>
      <c r="D196" s="123" t="str">
        <f t="shared" si="47"/>
        <v/>
      </c>
      <c r="E196" s="123" t="str">
        <f t="shared" si="44"/>
        <v/>
      </c>
      <c r="F196" s="123" t="str">
        <f t="shared" si="58"/>
        <v/>
      </c>
      <c r="G196" s="123" t="str">
        <f t="shared" si="55"/>
        <v/>
      </c>
      <c r="H196" s="15" t="e">
        <f t="shared" si="48"/>
        <v>#VALUE!</v>
      </c>
      <c r="I196" s="15" t="e">
        <f t="shared" si="45"/>
        <v>#DIV/0!</v>
      </c>
      <c r="J196" s="10">
        <f t="shared" si="56"/>
        <v>0</v>
      </c>
    </row>
    <row r="197" spans="1:10" x14ac:dyDescent="0.25">
      <c r="A197" s="61" t="e">
        <f t="shared" si="43"/>
        <v>#VALUE!</v>
      </c>
      <c r="B197" s="155" t="str">
        <f t="shared" si="57"/>
        <v/>
      </c>
      <c r="C197" s="15" t="str">
        <f t="shared" si="59"/>
        <v/>
      </c>
      <c r="D197" s="123" t="str">
        <f t="shared" si="47"/>
        <v/>
      </c>
      <c r="E197" s="123" t="str">
        <f t="shared" si="44"/>
        <v/>
      </c>
      <c r="F197" s="123" t="str">
        <f t="shared" si="58"/>
        <v/>
      </c>
      <c r="G197" s="123" t="str">
        <f t="shared" si="55"/>
        <v/>
      </c>
      <c r="H197" s="15" t="e">
        <f t="shared" si="48"/>
        <v>#VALUE!</v>
      </c>
      <c r="I197" s="15" t="e">
        <f t="shared" si="45"/>
        <v>#DIV/0!</v>
      </c>
      <c r="J197" s="10">
        <f t="shared" si="56"/>
        <v>0</v>
      </c>
    </row>
    <row r="198" spans="1:10" x14ac:dyDescent="0.25">
      <c r="A198" s="61" t="e">
        <f t="shared" si="43"/>
        <v>#VALUE!</v>
      </c>
      <c r="B198" s="155" t="str">
        <f t="shared" si="57"/>
        <v/>
      </c>
      <c r="C198" s="15" t="str">
        <f t="shared" si="59"/>
        <v/>
      </c>
      <c r="D198" s="123" t="str">
        <f t="shared" si="47"/>
        <v/>
      </c>
      <c r="E198" s="123" t="str">
        <f t="shared" si="44"/>
        <v/>
      </c>
      <c r="F198" s="123" t="str">
        <f t="shared" si="58"/>
        <v/>
      </c>
      <c r="G198" s="123" t="str">
        <f t="shared" si="55"/>
        <v/>
      </c>
      <c r="H198" s="15" t="e">
        <f t="shared" si="48"/>
        <v>#VALUE!</v>
      </c>
      <c r="I198" s="15" t="e">
        <f t="shared" si="45"/>
        <v>#DIV/0!</v>
      </c>
      <c r="J198" s="10">
        <f t="shared" ref="J198:J213" si="60">IF(C198=H$7,I$17-IF(J$16=1,H198,0)-IF(A$10=2,J$20,0),0)</f>
        <v>0</v>
      </c>
    </row>
    <row r="199" spans="1:10" x14ac:dyDescent="0.25">
      <c r="A199" s="61" t="e">
        <f t="shared" si="43"/>
        <v>#VALUE!</v>
      </c>
      <c r="B199" s="155" t="str">
        <f t="shared" si="57"/>
        <v/>
      </c>
      <c r="C199" s="15" t="str">
        <f t="shared" si="59"/>
        <v/>
      </c>
      <c r="D199" s="123" t="str">
        <f t="shared" si="47"/>
        <v/>
      </c>
      <c r="E199" s="123" t="str">
        <f t="shared" si="44"/>
        <v/>
      </c>
      <c r="F199" s="123" t="str">
        <f t="shared" si="58"/>
        <v/>
      </c>
      <c r="G199" s="123" t="str">
        <f t="shared" si="55"/>
        <v/>
      </c>
      <c r="H199" s="15" t="e">
        <f t="shared" si="48"/>
        <v>#VALUE!</v>
      </c>
      <c r="I199" s="15" t="e">
        <f t="shared" si="45"/>
        <v>#DIV/0!</v>
      </c>
      <c r="J199" s="10">
        <f t="shared" si="60"/>
        <v>0</v>
      </c>
    </row>
    <row r="200" spans="1:10" x14ac:dyDescent="0.25">
      <c r="A200" s="61" t="e">
        <f t="shared" si="43"/>
        <v>#VALUE!</v>
      </c>
      <c r="B200" s="155" t="str">
        <f t="shared" ref="B200:B215" si="61">IF(OR($I$8=1,C200=""),"",IF(D$12=360,B199+1,IF(DAY(A200)&lt;DAY($A$1),A200-DAY(A200),A200)))</f>
        <v/>
      </c>
      <c r="C200" s="15" t="str">
        <f t="shared" si="59"/>
        <v/>
      </c>
      <c r="D200" s="123" t="str">
        <f t="shared" si="47"/>
        <v/>
      </c>
      <c r="E200" s="123" t="str">
        <f t="shared" si="44"/>
        <v/>
      </c>
      <c r="F200" s="123" t="str">
        <f t="shared" ref="F200:F215" si="62">IF(C200="","",IF(OR(D$16&gt;=C200,OR(C200=J$12,AND(C200&gt;=J$11,C200&lt;=J$12))),D200,IF(A$10=2,IF(I200&gt;0,H$17,H$16)+J200,D200+E200)))</f>
        <v/>
      </c>
      <c r="G200" s="123" t="str">
        <f t="shared" si="55"/>
        <v/>
      </c>
      <c r="H200" s="15" t="e">
        <f t="shared" si="48"/>
        <v>#VALUE!</v>
      </c>
      <c r="I200" s="15" t="e">
        <f t="shared" si="45"/>
        <v>#DIV/0!</v>
      </c>
      <c r="J200" s="10">
        <f t="shared" si="60"/>
        <v>0</v>
      </c>
    </row>
    <row r="201" spans="1:10" x14ac:dyDescent="0.25">
      <c r="A201" s="61" t="e">
        <f t="shared" si="43"/>
        <v>#VALUE!</v>
      </c>
      <c r="B201" s="155" t="str">
        <f t="shared" si="61"/>
        <v/>
      </c>
      <c r="C201" s="15" t="str">
        <f t="shared" si="59"/>
        <v/>
      </c>
      <c r="D201" s="123" t="str">
        <f t="shared" si="47"/>
        <v/>
      </c>
      <c r="E201" s="123" t="str">
        <f t="shared" si="44"/>
        <v/>
      </c>
      <c r="F201" s="123" t="str">
        <f t="shared" si="62"/>
        <v/>
      </c>
      <c r="G201" s="123" t="str">
        <f t="shared" si="55"/>
        <v/>
      </c>
      <c r="H201" s="15" t="e">
        <f t="shared" si="48"/>
        <v>#VALUE!</v>
      </c>
      <c r="I201" s="15" t="e">
        <f t="shared" si="45"/>
        <v>#DIV/0!</v>
      </c>
      <c r="J201" s="10">
        <f t="shared" si="60"/>
        <v>0</v>
      </c>
    </row>
    <row r="202" spans="1:10" x14ac:dyDescent="0.25">
      <c r="A202" s="61" t="e">
        <f t="shared" si="43"/>
        <v>#VALUE!</v>
      </c>
      <c r="B202" s="155" t="str">
        <f t="shared" si="61"/>
        <v/>
      </c>
      <c r="C202" s="15" t="str">
        <f t="shared" si="59"/>
        <v/>
      </c>
      <c r="D202" s="123" t="str">
        <f t="shared" si="47"/>
        <v/>
      </c>
      <c r="E202" s="123" t="str">
        <f t="shared" si="44"/>
        <v/>
      </c>
      <c r="F202" s="123" t="str">
        <f t="shared" si="62"/>
        <v/>
      </c>
      <c r="G202" s="123" t="str">
        <f t="shared" si="55"/>
        <v/>
      </c>
      <c r="H202" s="15" t="e">
        <f t="shared" si="48"/>
        <v>#VALUE!</v>
      </c>
      <c r="I202" s="15" t="e">
        <f t="shared" si="45"/>
        <v>#DIV/0!</v>
      </c>
      <c r="J202" s="10">
        <f t="shared" si="60"/>
        <v>0</v>
      </c>
    </row>
    <row r="203" spans="1:10" x14ac:dyDescent="0.25">
      <c r="A203" s="61" t="e">
        <f t="shared" si="43"/>
        <v>#VALUE!</v>
      </c>
      <c r="B203" s="155" t="str">
        <f t="shared" si="61"/>
        <v/>
      </c>
      <c r="C203" s="15" t="str">
        <f t="shared" si="59"/>
        <v/>
      </c>
      <c r="D203" s="123" t="str">
        <f t="shared" si="47"/>
        <v/>
      </c>
      <c r="E203" s="123" t="str">
        <f t="shared" si="44"/>
        <v/>
      </c>
      <c r="F203" s="123" t="str">
        <f t="shared" si="62"/>
        <v/>
      </c>
      <c r="G203" s="123" t="str">
        <f t="shared" si="55"/>
        <v/>
      </c>
      <c r="H203" s="15" t="e">
        <f t="shared" si="48"/>
        <v>#VALUE!</v>
      </c>
      <c r="I203" s="15" t="e">
        <f t="shared" si="45"/>
        <v>#DIV/0!</v>
      </c>
      <c r="J203" s="10">
        <f t="shared" si="60"/>
        <v>0</v>
      </c>
    </row>
    <row r="204" spans="1:10" x14ac:dyDescent="0.25">
      <c r="A204" s="61" t="e">
        <f t="shared" si="43"/>
        <v>#VALUE!</v>
      </c>
      <c r="B204" s="155" t="str">
        <f t="shared" si="61"/>
        <v/>
      </c>
      <c r="C204" s="15" t="str">
        <f t="shared" si="59"/>
        <v/>
      </c>
      <c r="D204" s="123" t="str">
        <f t="shared" si="47"/>
        <v/>
      </c>
      <c r="E204" s="123" t="str">
        <f t="shared" si="44"/>
        <v/>
      </c>
      <c r="F204" s="123" t="str">
        <f t="shared" si="62"/>
        <v/>
      </c>
      <c r="G204" s="123" t="str">
        <f t="shared" si="55"/>
        <v/>
      </c>
      <c r="H204" s="15" t="e">
        <f t="shared" si="48"/>
        <v>#VALUE!</v>
      </c>
      <c r="I204" s="15" t="e">
        <f t="shared" si="45"/>
        <v>#DIV/0!</v>
      </c>
      <c r="J204" s="10">
        <f t="shared" si="60"/>
        <v>0</v>
      </c>
    </row>
    <row r="205" spans="1:10" x14ac:dyDescent="0.25">
      <c r="A205" s="61" t="e">
        <f t="shared" si="43"/>
        <v>#VALUE!</v>
      </c>
      <c r="B205" s="155" t="str">
        <f t="shared" si="61"/>
        <v/>
      </c>
      <c r="C205" s="15" t="str">
        <f t="shared" si="59"/>
        <v/>
      </c>
      <c r="D205" s="123" t="str">
        <f t="shared" si="47"/>
        <v/>
      </c>
      <c r="E205" s="123" t="str">
        <f t="shared" si="44"/>
        <v/>
      </c>
      <c r="F205" s="123" t="str">
        <f t="shared" si="62"/>
        <v/>
      </c>
      <c r="G205" s="123" t="str">
        <f t="shared" si="55"/>
        <v/>
      </c>
      <c r="H205" s="15" t="e">
        <f t="shared" si="48"/>
        <v>#VALUE!</v>
      </c>
      <c r="I205" s="15" t="e">
        <f t="shared" si="45"/>
        <v>#DIV/0!</v>
      </c>
      <c r="J205" s="10">
        <f t="shared" si="60"/>
        <v>0</v>
      </c>
    </row>
    <row r="206" spans="1:10" x14ac:dyDescent="0.25">
      <c r="A206" s="61" t="e">
        <f t="shared" si="43"/>
        <v>#VALUE!</v>
      </c>
      <c r="B206" s="155" t="str">
        <f t="shared" si="61"/>
        <v/>
      </c>
      <c r="C206" s="15" t="str">
        <f t="shared" si="59"/>
        <v/>
      </c>
      <c r="D206" s="123" t="str">
        <f t="shared" si="47"/>
        <v/>
      </c>
      <c r="E206" s="123" t="str">
        <f t="shared" si="44"/>
        <v/>
      </c>
      <c r="F206" s="123" t="str">
        <f t="shared" si="62"/>
        <v/>
      </c>
      <c r="G206" s="123" t="str">
        <f t="shared" si="55"/>
        <v/>
      </c>
      <c r="H206" s="15" t="e">
        <f t="shared" si="48"/>
        <v>#VALUE!</v>
      </c>
      <c r="I206" s="15" t="e">
        <f t="shared" si="45"/>
        <v>#DIV/0!</v>
      </c>
      <c r="J206" s="10">
        <f t="shared" si="60"/>
        <v>0</v>
      </c>
    </row>
    <row r="207" spans="1:10" x14ac:dyDescent="0.25">
      <c r="A207" s="61" t="e">
        <f t="shared" si="43"/>
        <v>#VALUE!</v>
      </c>
      <c r="B207" s="155" t="str">
        <f t="shared" si="61"/>
        <v/>
      </c>
      <c r="C207" s="15" t="str">
        <f t="shared" si="59"/>
        <v/>
      </c>
      <c r="D207" s="123" t="str">
        <f t="shared" si="47"/>
        <v/>
      </c>
      <c r="E207" s="123" t="str">
        <f t="shared" si="44"/>
        <v/>
      </c>
      <c r="F207" s="123" t="str">
        <f t="shared" si="62"/>
        <v/>
      </c>
      <c r="G207" s="123" t="str">
        <f t="shared" si="55"/>
        <v/>
      </c>
      <c r="H207" s="15" t="e">
        <f t="shared" si="48"/>
        <v>#VALUE!</v>
      </c>
      <c r="I207" s="15" t="e">
        <f t="shared" si="45"/>
        <v>#DIV/0!</v>
      </c>
      <c r="J207" s="10">
        <f t="shared" si="60"/>
        <v>0</v>
      </c>
    </row>
    <row r="208" spans="1:10" x14ac:dyDescent="0.25">
      <c r="A208" s="61" t="e">
        <f t="shared" si="43"/>
        <v>#VALUE!</v>
      </c>
      <c r="B208" s="155" t="str">
        <f t="shared" si="61"/>
        <v/>
      </c>
      <c r="C208" s="15" t="str">
        <f t="shared" si="59"/>
        <v/>
      </c>
      <c r="D208" s="123" t="str">
        <f t="shared" si="47"/>
        <v/>
      </c>
      <c r="E208" s="123" t="str">
        <f t="shared" si="44"/>
        <v/>
      </c>
      <c r="F208" s="123" t="str">
        <f t="shared" si="62"/>
        <v/>
      </c>
      <c r="G208" s="123" t="str">
        <f t="shared" si="55"/>
        <v/>
      </c>
      <c r="H208" s="15" t="e">
        <f t="shared" si="48"/>
        <v>#VALUE!</v>
      </c>
      <c r="I208" s="15" t="e">
        <f t="shared" si="45"/>
        <v>#DIV/0!</v>
      </c>
      <c r="J208" s="10">
        <f t="shared" si="60"/>
        <v>0</v>
      </c>
    </row>
    <row r="209" spans="1:10" x14ac:dyDescent="0.25">
      <c r="A209" s="61" t="e">
        <f t="shared" si="43"/>
        <v>#VALUE!</v>
      </c>
      <c r="B209" s="155" t="str">
        <f t="shared" si="61"/>
        <v/>
      </c>
      <c r="C209" s="15" t="str">
        <f t="shared" si="59"/>
        <v/>
      </c>
      <c r="D209" s="123" t="str">
        <f t="shared" si="47"/>
        <v/>
      </c>
      <c r="E209" s="123" t="str">
        <f t="shared" si="44"/>
        <v/>
      </c>
      <c r="F209" s="123" t="str">
        <f t="shared" si="62"/>
        <v/>
      </c>
      <c r="G209" s="123" t="str">
        <f t="shared" ref="G209:G240" si="63">IF(C209="","",G208-E209)</f>
        <v/>
      </c>
      <c r="H209" s="15" t="e">
        <f t="shared" si="48"/>
        <v>#VALUE!</v>
      </c>
      <c r="I209" s="15" t="e">
        <f t="shared" si="45"/>
        <v>#DIV/0!</v>
      </c>
      <c r="J209" s="10">
        <f t="shared" si="60"/>
        <v>0</v>
      </c>
    </row>
    <row r="210" spans="1:10" x14ac:dyDescent="0.25">
      <c r="A210" s="61" t="e">
        <f t="shared" si="43"/>
        <v>#VALUE!</v>
      </c>
      <c r="B210" s="155" t="str">
        <f t="shared" si="61"/>
        <v/>
      </c>
      <c r="C210" s="15" t="str">
        <f t="shared" si="59"/>
        <v/>
      </c>
      <c r="D210" s="123" t="str">
        <f t="shared" si="47"/>
        <v/>
      </c>
      <c r="E210" s="123" t="str">
        <f t="shared" si="44"/>
        <v/>
      </c>
      <c r="F210" s="123" t="str">
        <f t="shared" si="62"/>
        <v/>
      </c>
      <c r="G210" s="123" t="str">
        <f t="shared" si="63"/>
        <v/>
      </c>
      <c r="H210" s="15" t="e">
        <f t="shared" si="48"/>
        <v>#VALUE!</v>
      </c>
      <c r="I210" s="15" t="e">
        <f t="shared" si="45"/>
        <v>#DIV/0!</v>
      </c>
      <c r="J210" s="10">
        <f t="shared" si="60"/>
        <v>0</v>
      </c>
    </row>
    <row r="211" spans="1:10" x14ac:dyDescent="0.25">
      <c r="A211" s="61" t="e">
        <f t="shared" si="43"/>
        <v>#VALUE!</v>
      </c>
      <c r="B211" s="155" t="str">
        <f t="shared" si="61"/>
        <v/>
      </c>
      <c r="C211" s="15" t="str">
        <f t="shared" si="59"/>
        <v/>
      </c>
      <c r="D211" s="123" t="str">
        <f t="shared" si="47"/>
        <v/>
      </c>
      <c r="E211" s="123" t="str">
        <f t="shared" si="44"/>
        <v/>
      </c>
      <c r="F211" s="123" t="str">
        <f t="shared" si="62"/>
        <v/>
      </c>
      <c r="G211" s="123" t="str">
        <f t="shared" si="63"/>
        <v/>
      </c>
      <c r="H211" s="15" t="e">
        <f t="shared" si="48"/>
        <v>#VALUE!</v>
      </c>
      <c r="I211" s="15" t="e">
        <f t="shared" si="45"/>
        <v>#DIV/0!</v>
      </c>
      <c r="J211" s="10">
        <f t="shared" si="60"/>
        <v>0</v>
      </c>
    </row>
    <row r="212" spans="1:10" x14ac:dyDescent="0.25">
      <c r="A212" s="61" t="e">
        <f t="shared" si="43"/>
        <v>#VALUE!</v>
      </c>
      <c r="B212" s="155" t="str">
        <f t="shared" si="61"/>
        <v/>
      </c>
      <c r="C212" s="15" t="str">
        <f t="shared" si="59"/>
        <v/>
      </c>
      <c r="D212" s="123" t="str">
        <f t="shared" si="47"/>
        <v/>
      </c>
      <c r="E212" s="123" t="str">
        <f t="shared" si="44"/>
        <v/>
      </c>
      <c r="F212" s="123" t="str">
        <f t="shared" si="62"/>
        <v/>
      </c>
      <c r="G212" s="123" t="str">
        <f t="shared" si="63"/>
        <v/>
      </c>
      <c r="H212" s="15" t="e">
        <f t="shared" si="48"/>
        <v>#VALUE!</v>
      </c>
      <c r="I212" s="15" t="e">
        <f t="shared" si="45"/>
        <v>#DIV/0!</v>
      </c>
      <c r="J212" s="10">
        <f t="shared" si="60"/>
        <v>0</v>
      </c>
    </row>
    <row r="213" spans="1:10" x14ac:dyDescent="0.25">
      <c r="A213" s="61" t="e">
        <f t="shared" si="43"/>
        <v>#VALUE!</v>
      </c>
      <c r="B213" s="155" t="str">
        <f t="shared" si="61"/>
        <v/>
      </c>
      <c r="C213" s="15" t="str">
        <f t="shared" si="59"/>
        <v/>
      </c>
      <c r="D213" s="123" t="str">
        <f t="shared" si="47"/>
        <v/>
      </c>
      <c r="E213" s="123" t="str">
        <f t="shared" si="44"/>
        <v/>
      </c>
      <c r="F213" s="123" t="str">
        <f t="shared" si="62"/>
        <v/>
      </c>
      <c r="G213" s="123" t="str">
        <f t="shared" si="63"/>
        <v/>
      </c>
      <c r="H213" s="15" t="e">
        <f t="shared" si="48"/>
        <v>#VALUE!</v>
      </c>
      <c r="I213" s="15" t="e">
        <f t="shared" si="45"/>
        <v>#DIV/0!</v>
      </c>
      <c r="J213" s="10">
        <f t="shared" si="60"/>
        <v>0</v>
      </c>
    </row>
    <row r="214" spans="1:10" x14ac:dyDescent="0.25">
      <c r="A214" s="61" t="e">
        <f t="shared" ref="A214:A277" si="64">DATE(YEAR(A$1),MONTH(A$1)+A$4*(C214-A$2),DAY(A$1))+A$3</f>
        <v>#VALUE!</v>
      </c>
      <c r="B214" s="155" t="str">
        <f t="shared" si="61"/>
        <v/>
      </c>
      <c r="C214" s="15" t="str">
        <f t="shared" si="59"/>
        <v/>
      </c>
      <c r="D214" s="123" t="str">
        <f t="shared" si="47"/>
        <v/>
      </c>
      <c r="E214" s="123" t="str">
        <f t="shared" ref="E214:E277" si="65">IF(C212=$A$5,K$5,IF(C214="","",IF(OR(C214=J$12,AND(C214&gt;=J$11,C214&lt;=J$12)),0,IF(A$10=2,F214-D214,IF(I214&gt;0,I214,H214)+J214))))</f>
        <v/>
      </c>
      <c r="F214" s="123" t="str">
        <f t="shared" si="62"/>
        <v/>
      </c>
      <c r="G214" s="123" t="str">
        <f t="shared" si="63"/>
        <v/>
      </c>
      <c r="H214" s="15" t="e">
        <f t="shared" si="48"/>
        <v>#VALUE!</v>
      </c>
      <c r="I214" s="15" t="e">
        <f t="shared" ref="I214:I277" si="66">IF(C214&lt;=H$7,0,(((H$3-D$11)/(100*D$12))*((1+(D$11/(100*D$12)))^(C213-H$7)))*H$2)</f>
        <v>#DIV/0!</v>
      </c>
      <c r="J214" s="10">
        <f t="shared" ref="J214:J229" si="67">IF(C214=H$7,I$17-IF(J$16=1,H214,0)-IF(A$10=2,J$20,0),0)</f>
        <v>0</v>
      </c>
    </row>
    <row r="215" spans="1:10" x14ac:dyDescent="0.25">
      <c r="A215" s="61" t="e">
        <f t="shared" si="64"/>
        <v>#VALUE!</v>
      </c>
      <c r="B215" s="155" t="str">
        <f t="shared" si="61"/>
        <v/>
      </c>
      <c r="C215" s="15" t="str">
        <f t="shared" si="59"/>
        <v/>
      </c>
      <c r="D215" s="123" t="str">
        <f t="shared" ref="D215:D278" si="68">IF(C213=A$5,K$4,IF(C215="","",ROUND((G214-IF(D$13=1,E215,0))*A$6-IF(C215=H$7,J$20,0),A$10)))</f>
        <v/>
      </c>
      <c r="E215" s="123" t="str">
        <f t="shared" si="65"/>
        <v/>
      </c>
      <c r="F215" s="123" t="str">
        <f t="shared" si="62"/>
        <v/>
      </c>
      <c r="G215" s="123" t="str">
        <f t="shared" si="63"/>
        <v/>
      </c>
      <c r="H215" s="15" t="e">
        <f t="shared" ref="H215:H278" si="69">IF(C215&gt;$D$16,((($H$9-$D$11)/(100*$D$12))*((1+($D$11/(100*$D$12)))^(C214-$D$16)))*$D$9,0)</f>
        <v>#VALUE!</v>
      </c>
      <c r="I215" s="15" t="e">
        <f t="shared" si="66"/>
        <v>#DIV/0!</v>
      </c>
      <c r="J215" s="10">
        <f t="shared" si="67"/>
        <v>0</v>
      </c>
    </row>
    <row r="216" spans="1:10" x14ac:dyDescent="0.25">
      <c r="A216" s="61" t="e">
        <f t="shared" si="64"/>
        <v>#VALUE!</v>
      </c>
      <c r="B216" s="155" t="str">
        <f t="shared" ref="B216:B231" si="70">IF(OR($I$8=1,C216=""),"",IF(D$12=360,B215+1,IF(DAY(A216)&lt;DAY($A$1),A216-DAY(A216),A216)))</f>
        <v/>
      </c>
      <c r="C216" s="15" t="str">
        <f t="shared" si="59"/>
        <v/>
      </c>
      <c r="D216" s="123" t="str">
        <f t="shared" si="68"/>
        <v/>
      </c>
      <c r="E216" s="123" t="str">
        <f t="shared" si="65"/>
        <v/>
      </c>
      <c r="F216" s="123" t="str">
        <f t="shared" ref="F216:F231" si="71">IF(C216="","",IF(OR(D$16&gt;=C216,OR(C216=J$12,AND(C216&gt;=J$11,C216&lt;=J$12))),D216,IF(A$10=2,IF(I216&gt;0,H$17,H$16)+J216,D216+E216)))</f>
        <v/>
      </c>
      <c r="G216" s="123" t="str">
        <f t="shared" si="63"/>
        <v/>
      </c>
      <c r="H216" s="15" t="e">
        <f t="shared" si="69"/>
        <v>#VALUE!</v>
      </c>
      <c r="I216" s="15" t="e">
        <f t="shared" si="66"/>
        <v>#DIV/0!</v>
      </c>
      <c r="J216" s="10">
        <f t="shared" si="67"/>
        <v>0</v>
      </c>
    </row>
    <row r="217" spans="1:10" x14ac:dyDescent="0.25">
      <c r="A217" s="61" t="e">
        <f t="shared" si="64"/>
        <v>#VALUE!</v>
      </c>
      <c r="B217" s="155" t="str">
        <f t="shared" si="70"/>
        <v/>
      </c>
      <c r="C217" s="15" t="str">
        <f t="shared" si="59"/>
        <v/>
      </c>
      <c r="D217" s="123" t="str">
        <f t="shared" si="68"/>
        <v/>
      </c>
      <c r="E217" s="123" t="str">
        <f t="shared" si="65"/>
        <v/>
      </c>
      <c r="F217" s="123" t="str">
        <f t="shared" si="71"/>
        <v/>
      </c>
      <c r="G217" s="123" t="str">
        <f t="shared" si="63"/>
        <v/>
      </c>
      <c r="H217" s="15" t="e">
        <f t="shared" si="69"/>
        <v>#VALUE!</v>
      </c>
      <c r="I217" s="15" t="e">
        <f t="shared" si="66"/>
        <v>#DIV/0!</v>
      </c>
      <c r="J217" s="10">
        <f t="shared" si="67"/>
        <v>0</v>
      </c>
    </row>
    <row r="218" spans="1:10" x14ac:dyDescent="0.25">
      <c r="A218" s="61" t="e">
        <f t="shared" si="64"/>
        <v>#VALUE!</v>
      </c>
      <c r="B218" s="155" t="str">
        <f t="shared" si="70"/>
        <v/>
      </c>
      <c r="C218" s="15" t="str">
        <f t="shared" si="59"/>
        <v/>
      </c>
      <c r="D218" s="123" t="str">
        <f t="shared" si="68"/>
        <v/>
      </c>
      <c r="E218" s="123" t="str">
        <f t="shared" si="65"/>
        <v/>
      </c>
      <c r="F218" s="123" t="str">
        <f t="shared" si="71"/>
        <v/>
      </c>
      <c r="G218" s="123" t="str">
        <f t="shared" si="63"/>
        <v/>
      </c>
      <c r="H218" s="15" t="e">
        <f t="shared" si="69"/>
        <v>#VALUE!</v>
      </c>
      <c r="I218" s="15" t="e">
        <f t="shared" si="66"/>
        <v>#DIV/0!</v>
      </c>
      <c r="J218" s="10">
        <f t="shared" si="67"/>
        <v>0</v>
      </c>
    </row>
    <row r="219" spans="1:10" x14ac:dyDescent="0.25">
      <c r="A219" s="61" t="e">
        <f t="shared" si="64"/>
        <v>#VALUE!</v>
      </c>
      <c r="B219" s="155" t="str">
        <f t="shared" si="70"/>
        <v/>
      </c>
      <c r="C219" s="15" t="str">
        <f t="shared" si="59"/>
        <v/>
      </c>
      <c r="D219" s="123" t="str">
        <f t="shared" si="68"/>
        <v/>
      </c>
      <c r="E219" s="123" t="str">
        <f t="shared" si="65"/>
        <v/>
      </c>
      <c r="F219" s="123" t="str">
        <f t="shared" si="71"/>
        <v/>
      </c>
      <c r="G219" s="123" t="str">
        <f t="shared" si="63"/>
        <v/>
      </c>
      <c r="H219" s="15" t="e">
        <f t="shared" si="69"/>
        <v>#VALUE!</v>
      </c>
      <c r="I219" s="15" t="e">
        <f t="shared" si="66"/>
        <v>#DIV/0!</v>
      </c>
      <c r="J219" s="10">
        <f t="shared" si="67"/>
        <v>0</v>
      </c>
    </row>
    <row r="220" spans="1:10" x14ac:dyDescent="0.25">
      <c r="A220" s="61" t="e">
        <f t="shared" si="64"/>
        <v>#VALUE!</v>
      </c>
      <c r="B220" s="155" t="str">
        <f t="shared" si="70"/>
        <v/>
      </c>
      <c r="C220" s="15" t="str">
        <f t="shared" si="59"/>
        <v/>
      </c>
      <c r="D220" s="123" t="str">
        <f t="shared" si="68"/>
        <v/>
      </c>
      <c r="E220" s="123" t="str">
        <f t="shared" si="65"/>
        <v/>
      </c>
      <c r="F220" s="123" t="str">
        <f t="shared" si="71"/>
        <v/>
      </c>
      <c r="G220" s="123" t="str">
        <f t="shared" si="63"/>
        <v/>
      </c>
      <c r="H220" s="15" t="e">
        <f t="shared" si="69"/>
        <v>#VALUE!</v>
      </c>
      <c r="I220" s="15" t="e">
        <f t="shared" si="66"/>
        <v>#DIV/0!</v>
      </c>
      <c r="J220" s="10">
        <f t="shared" si="67"/>
        <v>0</v>
      </c>
    </row>
    <row r="221" spans="1:10" x14ac:dyDescent="0.25">
      <c r="A221" s="61" t="e">
        <f t="shared" si="64"/>
        <v>#VALUE!</v>
      </c>
      <c r="B221" s="155" t="str">
        <f t="shared" si="70"/>
        <v/>
      </c>
      <c r="C221" s="15" t="str">
        <f t="shared" ref="C221:C252" si="72">IF(OR(C220&gt;=$A$5,C220=""),"",C220+1)</f>
        <v/>
      </c>
      <c r="D221" s="123" t="str">
        <f t="shared" si="68"/>
        <v/>
      </c>
      <c r="E221" s="123" t="str">
        <f t="shared" si="65"/>
        <v/>
      </c>
      <c r="F221" s="123" t="str">
        <f t="shared" si="71"/>
        <v/>
      </c>
      <c r="G221" s="123" t="str">
        <f t="shared" si="63"/>
        <v/>
      </c>
      <c r="H221" s="15" t="e">
        <f t="shared" si="69"/>
        <v>#VALUE!</v>
      </c>
      <c r="I221" s="15" t="e">
        <f t="shared" si="66"/>
        <v>#DIV/0!</v>
      </c>
      <c r="J221" s="10">
        <f t="shared" si="67"/>
        <v>0</v>
      </c>
    </row>
    <row r="222" spans="1:10" x14ac:dyDescent="0.25">
      <c r="A222" s="61" t="e">
        <f t="shared" si="64"/>
        <v>#VALUE!</v>
      </c>
      <c r="B222" s="155" t="str">
        <f t="shared" si="70"/>
        <v/>
      </c>
      <c r="C222" s="15" t="str">
        <f t="shared" si="72"/>
        <v/>
      </c>
      <c r="D222" s="123" t="str">
        <f t="shared" si="68"/>
        <v/>
      </c>
      <c r="E222" s="123" t="str">
        <f t="shared" si="65"/>
        <v/>
      </c>
      <c r="F222" s="123" t="str">
        <f t="shared" si="71"/>
        <v/>
      </c>
      <c r="G222" s="123" t="str">
        <f t="shared" si="63"/>
        <v/>
      </c>
      <c r="H222" s="15" t="e">
        <f t="shared" si="69"/>
        <v>#VALUE!</v>
      </c>
      <c r="I222" s="15" t="e">
        <f t="shared" si="66"/>
        <v>#DIV/0!</v>
      </c>
      <c r="J222" s="10">
        <f t="shared" si="67"/>
        <v>0</v>
      </c>
    </row>
    <row r="223" spans="1:10" x14ac:dyDescent="0.25">
      <c r="A223" s="61" t="e">
        <f t="shared" si="64"/>
        <v>#VALUE!</v>
      </c>
      <c r="B223" s="155" t="str">
        <f t="shared" si="70"/>
        <v/>
      </c>
      <c r="C223" s="15" t="str">
        <f t="shared" si="72"/>
        <v/>
      </c>
      <c r="D223" s="123" t="str">
        <f t="shared" si="68"/>
        <v/>
      </c>
      <c r="E223" s="123" t="str">
        <f t="shared" si="65"/>
        <v/>
      </c>
      <c r="F223" s="123" t="str">
        <f t="shared" si="71"/>
        <v/>
      </c>
      <c r="G223" s="123" t="str">
        <f t="shared" si="63"/>
        <v/>
      </c>
      <c r="H223" s="15" t="e">
        <f t="shared" si="69"/>
        <v>#VALUE!</v>
      </c>
      <c r="I223" s="15" t="e">
        <f t="shared" si="66"/>
        <v>#DIV/0!</v>
      </c>
      <c r="J223" s="10">
        <f t="shared" si="67"/>
        <v>0</v>
      </c>
    </row>
    <row r="224" spans="1:10" x14ac:dyDescent="0.25">
      <c r="A224" s="61" t="e">
        <f t="shared" si="64"/>
        <v>#VALUE!</v>
      </c>
      <c r="B224" s="155" t="str">
        <f t="shared" si="70"/>
        <v/>
      </c>
      <c r="C224" s="15" t="str">
        <f t="shared" si="72"/>
        <v/>
      </c>
      <c r="D224" s="123" t="str">
        <f t="shared" si="68"/>
        <v/>
      </c>
      <c r="E224" s="123" t="str">
        <f t="shared" si="65"/>
        <v/>
      </c>
      <c r="F224" s="123" t="str">
        <f t="shared" si="71"/>
        <v/>
      </c>
      <c r="G224" s="123" t="str">
        <f t="shared" si="63"/>
        <v/>
      </c>
      <c r="H224" s="15" t="e">
        <f t="shared" si="69"/>
        <v>#VALUE!</v>
      </c>
      <c r="I224" s="15" t="e">
        <f t="shared" si="66"/>
        <v>#DIV/0!</v>
      </c>
      <c r="J224" s="10">
        <f t="shared" si="67"/>
        <v>0</v>
      </c>
    </row>
    <row r="225" spans="1:10" x14ac:dyDescent="0.25">
      <c r="A225" s="61" t="e">
        <f t="shared" si="64"/>
        <v>#VALUE!</v>
      </c>
      <c r="B225" s="155" t="str">
        <f t="shared" si="70"/>
        <v/>
      </c>
      <c r="C225" s="15" t="str">
        <f t="shared" si="72"/>
        <v/>
      </c>
      <c r="D225" s="123" t="str">
        <f t="shared" si="68"/>
        <v/>
      </c>
      <c r="E225" s="123" t="str">
        <f t="shared" si="65"/>
        <v/>
      </c>
      <c r="F225" s="123" t="str">
        <f t="shared" si="71"/>
        <v/>
      </c>
      <c r="G225" s="123" t="str">
        <f t="shared" si="63"/>
        <v/>
      </c>
      <c r="H225" s="15" t="e">
        <f t="shared" si="69"/>
        <v>#VALUE!</v>
      </c>
      <c r="I225" s="15" t="e">
        <f t="shared" si="66"/>
        <v>#DIV/0!</v>
      </c>
      <c r="J225" s="10">
        <f t="shared" si="67"/>
        <v>0</v>
      </c>
    </row>
    <row r="226" spans="1:10" x14ac:dyDescent="0.25">
      <c r="A226" s="61" t="e">
        <f t="shared" si="64"/>
        <v>#VALUE!</v>
      </c>
      <c r="B226" s="155" t="str">
        <f t="shared" si="70"/>
        <v/>
      </c>
      <c r="C226" s="15" t="str">
        <f t="shared" si="72"/>
        <v/>
      </c>
      <c r="D226" s="123" t="str">
        <f t="shared" si="68"/>
        <v/>
      </c>
      <c r="E226" s="123" t="str">
        <f t="shared" si="65"/>
        <v/>
      </c>
      <c r="F226" s="123" t="str">
        <f t="shared" si="71"/>
        <v/>
      </c>
      <c r="G226" s="123" t="str">
        <f t="shared" si="63"/>
        <v/>
      </c>
      <c r="H226" s="15" t="e">
        <f t="shared" si="69"/>
        <v>#VALUE!</v>
      </c>
      <c r="I226" s="15" t="e">
        <f t="shared" si="66"/>
        <v>#DIV/0!</v>
      </c>
      <c r="J226" s="10">
        <f t="shared" si="67"/>
        <v>0</v>
      </c>
    </row>
    <row r="227" spans="1:10" x14ac:dyDescent="0.25">
      <c r="A227" s="61" t="e">
        <f t="shared" si="64"/>
        <v>#VALUE!</v>
      </c>
      <c r="B227" s="155" t="str">
        <f t="shared" si="70"/>
        <v/>
      </c>
      <c r="C227" s="15" t="str">
        <f t="shared" si="72"/>
        <v/>
      </c>
      <c r="D227" s="123" t="str">
        <f t="shared" si="68"/>
        <v/>
      </c>
      <c r="E227" s="123" t="str">
        <f t="shared" si="65"/>
        <v/>
      </c>
      <c r="F227" s="123" t="str">
        <f t="shared" si="71"/>
        <v/>
      </c>
      <c r="G227" s="123" t="str">
        <f t="shared" si="63"/>
        <v/>
      </c>
      <c r="H227" s="15" t="e">
        <f t="shared" si="69"/>
        <v>#VALUE!</v>
      </c>
      <c r="I227" s="15" t="e">
        <f t="shared" si="66"/>
        <v>#DIV/0!</v>
      </c>
      <c r="J227" s="10">
        <f t="shared" si="67"/>
        <v>0</v>
      </c>
    </row>
    <row r="228" spans="1:10" x14ac:dyDescent="0.25">
      <c r="A228" s="61" t="e">
        <f t="shared" si="64"/>
        <v>#VALUE!</v>
      </c>
      <c r="B228" s="155" t="str">
        <f t="shared" si="70"/>
        <v/>
      </c>
      <c r="C228" s="15" t="str">
        <f t="shared" si="72"/>
        <v/>
      </c>
      <c r="D228" s="123" t="str">
        <f t="shared" si="68"/>
        <v/>
      </c>
      <c r="E228" s="123" t="str">
        <f t="shared" si="65"/>
        <v/>
      </c>
      <c r="F228" s="123" t="str">
        <f t="shared" si="71"/>
        <v/>
      </c>
      <c r="G228" s="123" t="str">
        <f t="shared" si="63"/>
        <v/>
      </c>
      <c r="H228" s="15" t="e">
        <f t="shared" si="69"/>
        <v>#VALUE!</v>
      </c>
      <c r="I228" s="15" t="e">
        <f t="shared" si="66"/>
        <v>#DIV/0!</v>
      </c>
      <c r="J228" s="10">
        <f t="shared" si="67"/>
        <v>0</v>
      </c>
    </row>
    <row r="229" spans="1:10" x14ac:dyDescent="0.25">
      <c r="A229" s="61" t="e">
        <f t="shared" si="64"/>
        <v>#VALUE!</v>
      </c>
      <c r="B229" s="155" t="str">
        <f t="shared" si="70"/>
        <v/>
      </c>
      <c r="C229" s="15" t="str">
        <f t="shared" si="72"/>
        <v/>
      </c>
      <c r="D229" s="123" t="str">
        <f t="shared" si="68"/>
        <v/>
      </c>
      <c r="E229" s="123" t="str">
        <f t="shared" si="65"/>
        <v/>
      </c>
      <c r="F229" s="123" t="str">
        <f t="shared" si="71"/>
        <v/>
      </c>
      <c r="G229" s="123" t="str">
        <f t="shared" si="63"/>
        <v/>
      </c>
      <c r="H229" s="15" t="e">
        <f t="shared" si="69"/>
        <v>#VALUE!</v>
      </c>
      <c r="I229" s="15" t="e">
        <f t="shared" si="66"/>
        <v>#DIV/0!</v>
      </c>
      <c r="J229" s="10">
        <f t="shared" si="67"/>
        <v>0</v>
      </c>
    </row>
    <row r="230" spans="1:10" x14ac:dyDescent="0.25">
      <c r="A230" s="61" t="e">
        <f t="shared" si="64"/>
        <v>#VALUE!</v>
      </c>
      <c r="B230" s="155" t="str">
        <f t="shared" si="70"/>
        <v/>
      </c>
      <c r="C230" s="15" t="str">
        <f t="shared" si="72"/>
        <v/>
      </c>
      <c r="D230" s="123" t="str">
        <f t="shared" si="68"/>
        <v/>
      </c>
      <c r="E230" s="123" t="str">
        <f t="shared" si="65"/>
        <v/>
      </c>
      <c r="F230" s="123" t="str">
        <f t="shared" si="71"/>
        <v/>
      </c>
      <c r="G230" s="123" t="str">
        <f t="shared" si="63"/>
        <v/>
      </c>
      <c r="H230" s="15" t="e">
        <f t="shared" si="69"/>
        <v>#VALUE!</v>
      </c>
      <c r="I230" s="15" t="e">
        <f t="shared" si="66"/>
        <v>#DIV/0!</v>
      </c>
      <c r="J230" s="10">
        <f t="shared" ref="J230:J245" si="73">IF(C230=H$7,I$17-IF(J$16=1,H230,0)-IF(A$10=2,J$20,0),0)</f>
        <v>0</v>
      </c>
    </row>
    <row r="231" spans="1:10" x14ac:dyDescent="0.25">
      <c r="A231" s="61" t="e">
        <f t="shared" si="64"/>
        <v>#VALUE!</v>
      </c>
      <c r="B231" s="155" t="str">
        <f t="shared" si="70"/>
        <v/>
      </c>
      <c r="C231" s="15" t="str">
        <f t="shared" si="72"/>
        <v/>
      </c>
      <c r="D231" s="123" t="str">
        <f t="shared" si="68"/>
        <v/>
      </c>
      <c r="E231" s="123" t="str">
        <f t="shared" si="65"/>
        <v/>
      </c>
      <c r="F231" s="123" t="str">
        <f t="shared" si="71"/>
        <v/>
      </c>
      <c r="G231" s="123" t="str">
        <f t="shared" si="63"/>
        <v/>
      </c>
      <c r="H231" s="15" t="e">
        <f t="shared" si="69"/>
        <v>#VALUE!</v>
      </c>
      <c r="I231" s="15" t="e">
        <f t="shared" si="66"/>
        <v>#DIV/0!</v>
      </c>
      <c r="J231" s="10">
        <f t="shared" si="73"/>
        <v>0</v>
      </c>
    </row>
    <row r="232" spans="1:10" x14ac:dyDescent="0.25">
      <c r="A232" s="61" t="e">
        <f t="shared" si="64"/>
        <v>#VALUE!</v>
      </c>
      <c r="B232" s="155" t="str">
        <f t="shared" ref="B232:B247" si="74">IF(OR($I$8=1,C232=""),"",IF(D$12=360,B231+1,IF(DAY(A232)&lt;DAY($A$1),A232-DAY(A232),A232)))</f>
        <v/>
      </c>
      <c r="C232" s="15" t="str">
        <f t="shared" si="72"/>
        <v/>
      </c>
      <c r="D232" s="123" t="str">
        <f t="shared" si="68"/>
        <v/>
      </c>
      <c r="E232" s="123" t="str">
        <f t="shared" si="65"/>
        <v/>
      </c>
      <c r="F232" s="123" t="str">
        <f t="shared" ref="F232:F247" si="75">IF(C232="","",IF(OR(D$16&gt;=C232,OR(C232=J$12,AND(C232&gt;=J$11,C232&lt;=J$12))),D232,IF(A$10=2,IF(I232&gt;0,H$17,H$16)+J232,D232+E232)))</f>
        <v/>
      </c>
      <c r="G232" s="123" t="str">
        <f t="shared" si="63"/>
        <v/>
      </c>
      <c r="H232" s="15" t="e">
        <f t="shared" si="69"/>
        <v>#VALUE!</v>
      </c>
      <c r="I232" s="15" t="e">
        <f t="shared" si="66"/>
        <v>#DIV/0!</v>
      </c>
      <c r="J232" s="10">
        <f t="shared" si="73"/>
        <v>0</v>
      </c>
    </row>
    <row r="233" spans="1:10" x14ac:dyDescent="0.25">
      <c r="A233" s="61" t="e">
        <f t="shared" si="64"/>
        <v>#VALUE!</v>
      </c>
      <c r="B233" s="155" t="str">
        <f t="shared" si="74"/>
        <v/>
      </c>
      <c r="C233" s="15" t="str">
        <f t="shared" si="72"/>
        <v/>
      </c>
      <c r="D233" s="123" t="str">
        <f t="shared" si="68"/>
        <v/>
      </c>
      <c r="E233" s="123" t="str">
        <f t="shared" si="65"/>
        <v/>
      </c>
      <c r="F233" s="123" t="str">
        <f t="shared" si="75"/>
        <v/>
      </c>
      <c r="G233" s="123" t="str">
        <f t="shared" si="63"/>
        <v/>
      </c>
      <c r="H233" s="15" t="e">
        <f t="shared" si="69"/>
        <v>#VALUE!</v>
      </c>
      <c r="I233" s="15" t="e">
        <f t="shared" si="66"/>
        <v>#DIV/0!</v>
      </c>
      <c r="J233" s="10">
        <f t="shared" si="73"/>
        <v>0</v>
      </c>
    </row>
    <row r="234" spans="1:10" x14ac:dyDescent="0.25">
      <c r="A234" s="61" t="e">
        <f t="shared" si="64"/>
        <v>#VALUE!</v>
      </c>
      <c r="B234" s="155" t="str">
        <f t="shared" si="74"/>
        <v/>
      </c>
      <c r="C234" s="15" t="str">
        <f t="shared" si="72"/>
        <v/>
      </c>
      <c r="D234" s="123" t="str">
        <f t="shared" si="68"/>
        <v/>
      </c>
      <c r="E234" s="123" t="str">
        <f t="shared" si="65"/>
        <v/>
      </c>
      <c r="F234" s="123" t="str">
        <f t="shared" si="75"/>
        <v/>
      </c>
      <c r="G234" s="123" t="str">
        <f t="shared" si="63"/>
        <v/>
      </c>
      <c r="H234" s="15" t="e">
        <f t="shared" si="69"/>
        <v>#VALUE!</v>
      </c>
      <c r="I234" s="15" t="e">
        <f t="shared" si="66"/>
        <v>#DIV/0!</v>
      </c>
      <c r="J234" s="10">
        <f t="shared" si="73"/>
        <v>0</v>
      </c>
    </row>
    <row r="235" spans="1:10" x14ac:dyDescent="0.25">
      <c r="A235" s="61" t="e">
        <f t="shared" si="64"/>
        <v>#VALUE!</v>
      </c>
      <c r="B235" s="155" t="str">
        <f t="shared" si="74"/>
        <v/>
      </c>
      <c r="C235" s="15" t="str">
        <f t="shared" si="72"/>
        <v/>
      </c>
      <c r="D235" s="123" t="str">
        <f t="shared" si="68"/>
        <v/>
      </c>
      <c r="E235" s="123" t="str">
        <f t="shared" si="65"/>
        <v/>
      </c>
      <c r="F235" s="123" t="str">
        <f t="shared" si="75"/>
        <v/>
      </c>
      <c r="G235" s="123" t="str">
        <f t="shared" si="63"/>
        <v/>
      </c>
      <c r="H235" s="15" t="e">
        <f t="shared" si="69"/>
        <v>#VALUE!</v>
      </c>
      <c r="I235" s="15" t="e">
        <f t="shared" si="66"/>
        <v>#DIV/0!</v>
      </c>
      <c r="J235" s="10">
        <f t="shared" si="73"/>
        <v>0</v>
      </c>
    </row>
    <row r="236" spans="1:10" x14ac:dyDescent="0.25">
      <c r="A236" s="61" t="e">
        <f t="shared" si="64"/>
        <v>#VALUE!</v>
      </c>
      <c r="B236" s="155" t="str">
        <f t="shared" si="74"/>
        <v/>
      </c>
      <c r="C236" s="15" t="str">
        <f t="shared" si="72"/>
        <v/>
      </c>
      <c r="D236" s="123" t="str">
        <f t="shared" si="68"/>
        <v/>
      </c>
      <c r="E236" s="123" t="str">
        <f t="shared" si="65"/>
        <v/>
      </c>
      <c r="F236" s="123" t="str">
        <f t="shared" si="75"/>
        <v/>
      </c>
      <c r="G236" s="123" t="str">
        <f t="shared" si="63"/>
        <v/>
      </c>
      <c r="H236" s="15" t="e">
        <f t="shared" si="69"/>
        <v>#VALUE!</v>
      </c>
      <c r="I236" s="15" t="e">
        <f t="shared" si="66"/>
        <v>#DIV/0!</v>
      </c>
      <c r="J236" s="10">
        <f t="shared" si="73"/>
        <v>0</v>
      </c>
    </row>
    <row r="237" spans="1:10" x14ac:dyDescent="0.25">
      <c r="A237" s="61" t="e">
        <f t="shared" si="64"/>
        <v>#VALUE!</v>
      </c>
      <c r="B237" s="155" t="str">
        <f t="shared" si="74"/>
        <v/>
      </c>
      <c r="C237" s="15" t="str">
        <f t="shared" si="72"/>
        <v/>
      </c>
      <c r="D237" s="123" t="str">
        <f t="shared" si="68"/>
        <v/>
      </c>
      <c r="E237" s="123" t="str">
        <f t="shared" si="65"/>
        <v/>
      </c>
      <c r="F237" s="123" t="str">
        <f t="shared" si="75"/>
        <v/>
      </c>
      <c r="G237" s="123" t="str">
        <f t="shared" si="63"/>
        <v/>
      </c>
      <c r="H237" s="15" t="e">
        <f t="shared" si="69"/>
        <v>#VALUE!</v>
      </c>
      <c r="I237" s="15" t="e">
        <f t="shared" si="66"/>
        <v>#DIV/0!</v>
      </c>
      <c r="J237" s="10">
        <f t="shared" si="73"/>
        <v>0</v>
      </c>
    </row>
    <row r="238" spans="1:10" x14ac:dyDescent="0.25">
      <c r="A238" s="61" t="e">
        <f t="shared" si="64"/>
        <v>#VALUE!</v>
      </c>
      <c r="B238" s="155" t="str">
        <f t="shared" si="74"/>
        <v/>
      </c>
      <c r="C238" s="15" t="str">
        <f t="shared" si="72"/>
        <v/>
      </c>
      <c r="D238" s="123" t="str">
        <f t="shared" si="68"/>
        <v/>
      </c>
      <c r="E238" s="123" t="str">
        <f t="shared" si="65"/>
        <v/>
      </c>
      <c r="F238" s="123" t="str">
        <f t="shared" si="75"/>
        <v/>
      </c>
      <c r="G238" s="123" t="str">
        <f t="shared" si="63"/>
        <v/>
      </c>
      <c r="H238" s="15" t="e">
        <f t="shared" si="69"/>
        <v>#VALUE!</v>
      </c>
      <c r="I238" s="15" t="e">
        <f t="shared" si="66"/>
        <v>#DIV/0!</v>
      </c>
      <c r="J238" s="10">
        <f t="shared" si="73"/>
        <v>0</v>
      </c>
    </row>
    <row r="239" spans="1:10" x14ac:dyDescent="0.25">
      <c r="A239" s="61" t="e">
        <f t="shared" si="64"/>
        <v>#VALUE!</v>
      </c>
      <c r="B239" s="155" t="str">
        <f t="shared" si="74"/>
        <v/>
      </c>
      <c r="C239" s="15" t="str">
        <f t="shared" si="72"/>
        <v/>
      </c>
      <c r="D239" s="123" t="str">
        <f t="shared" si="68"/>
        <v/>
      </c>
      <c r="E239" s="123" t="str">
        <f t="shared" si="65"/>
        <v/>
      </c>
      <c r="F239" s="123" t="str">
        <f t="shared" si="75"/>
        <v/>
      </c>
      <c r="G239" s="123" t="str">
        <f t="shared" si="63"/>
        <v/>
      </c>
      <c r="H239" s="15" t="e">
        <f t="shared" si="69"/>
        <v>#VALUE!</v>
      </c>
      <c r="I239" s="15" t="e">
        <f t="shared" si="66"/>
        <v>#DIV/0!</v>
      </c>
      <c r="J239" s="10">
        <f t="shared" si="73"/>
        <v>0</v>
      </c>
    </row>
    <row r="240" spans="1:10" x14ac:dyDescent="0.25">
      <c r="A240" s="61" t="e">
        <f t="shared" si="64"/>
        <v>#VALUE!</v>
      </c>
      <c r="B240" s="155" t="str">
        <f t="shared" si="74"/>
        <v/>
      </c>
      <c r="C240" s="15" t="str">
        <f t="shared" si="72"/>
        <v/>
      </c>
      <c r="D240" s="123" t="str">
        <f t="shared" si="68"/>
        <v/>
      </c>
      <c r="E240" s="123" t="str">
        <f t="shared" si="65"/>
        <v/>
      </c>
      <c r="F240" s="123" t="str">
        <f t="shared" si="75"/>
        <v/>
      </c>
      <c r="G240" s="123" t="str">
        <f t="shared" si="63"/>
        <v/>
      </c>
      <c r="H240" s="15" t="e">
        <f t="shared" si="69"/>
        <v>#VALUE!</v>
      </c>
      <c r="I240" s="15" t="e">
        <f t="shared" si="66"/>
        <v>#DIV/0!</v>
      </c>
      <c r="J240" s="10">
        <f t="shared" si="73"/>
        <v>0</v>
      </c>
    </row>
    <row r="241" spans="1:10" x14ac:dyDescent="0.25">
      <c r="A241" s="61" t="e">
        <f t="shared" si="64"/>
        <v>#VALUE!</v>
      </c>
      <c r="B241" s="155" t="str">
        <f t="shared" si="74"/>
        <v/>
      </c>
      <c r="C241" s="15" t="str">
        <f t="shared" si="72"/>
        <v/>
      </c>
      <c r="D241" s="123" t="str">
        <f t="shared" si="68"/>
        <v/>
      </c>
      <c r="E241" s="123" t="str">
        <f t="shared" si="65"/>
        <v/>
      </c>
      <c r="F241" s="123" t="str">
        <f t="shared" si="75"/>
        <v/>
      </c>
      <c r="G241" s="123" t="str">
        <f t="shared" ref="G241:G272" si="76">IF(C241="","",G240-E241)</f>
        <v/>
      </c>
      <c r="H241" s="15" t="e">
        <f t="shared" si="69"/>
        <v>#VALUE!</v>
      </c>
      <c r="I241" s="15" t="e">
        <f t="shared" si="66"/>
        <v>#DIV/0!</v>
      </c>
      <c r="J241" s="10">
        <f t="shared" si="73"/>
        <v>0</v>
      </c>
    </row>
    <row r="242" spans="1:10" x14ac:dyDescent="0.25">
      <c r="A242" s="61" t="e">
        <f t="shared" si="64"/>
        <v>#VALUE!</v>
      </c>
      <c r="B242" s="155" t="str">
        <f t="shared" si="74"/>
        <v/>
      </c>
      <c r="C242" s="15" t="str">
        <f t="shared" si="72"/>
        <v/>
      </c>
      <c r="D242" s="123" t="str">
        <f t="shared" si="68"/>
        <v/>
      </c>
      <c r="E242" s="123" t="str">
        <f t="shared" si="65"/>
        <v/>
      </c>
      <c r="F242" s="123" t="str">
        <f t="shared" si="75"/>
        <v/>
      </c>
      <c r="G242" s="123" t="str">
        <f t="shared" si="76"/>
        <v/>
      </c>
      <c r="H242" s="15" t="e">
        <f t="shared" si="69"/>
        <v>#VALUE!</v>
      </c>
      <c r="I242" s="15" t="e">
        <f t="shared" si="66"/>
        <v>#DIV/0!</v>
      </c>
      <c r="J242" s="10">
        <f t="shared" si="73"/>
        <v>0</v>
      </c>
    </row>
    <row r="243" spans="1:10" x14ac:dyDescent="0.25">
      <c r="A243" s="61" t="e">
        <f t="shared" si="64"/>
        <v>#VALUE!</v>
      </c>
      <c r="B243" s="155" t="str">
        <f t="shared" si="74"/>
        <v/>
      </c>
      <c r="C243" s="15" t="str">
        <f t="shared" si="72"/>
        <v/>
      </c>
      <c r="D243" s="123" t="str">
        <f t="shared" si="68"/>
        <v/>
      </c>
      <c r="E243" s="123" t="str">
        <f t="shared" si="65"/>
        <v/>
      </c>
      <c r="F243" s="123" t="str">
        <f t="shared" si="75"/>
        <v/>
      </c>
      <c r="G243" s="123" t="str">
        <f t="shared" si="76"/>
        <v/>
      </c>
      <c r="H243" s="15" t="e">
        <f t="shared" si="69"/>
        <v>#VALUE!</v>
      </c>
      <c r="I243" s="15" t="e">
        <f t="shared" si="66"/>
        <v>#DIV/0!</v>
      </c>
      <c r="J243" s="10">
        <f t="shared" si="73"/>
        <v>0</v>
      </c>
    </row>
    <row r="244" spans="1:10" x14ac:dyDescent="0.25">
      <c r="A244" s="61" t="e">
        <f t="shared" si="64"/>
        <v>#VALUE!</v>
      </c>
      <c r="B244" s="155" t="str">
        <f t="shared" si="74"/>
        <v/>
      </c>
      <c r="C244" s="15" t="str">
        <f t="shared" si="72"/>
        <v/>
      </c>
      <c r="D244" s="123" t="str">
        <f t="shared" si="68"/>
        <v/>
      </c>
      <c r="E244" s="123" t="str">
        <f t="shared" si="65"/>
        <v/>
      </c>
      <c r="F244" s="123" t="str">
        <f t="shared" si="75"/>
        <v/>
      </c>
      <c r="G244" s="123" t="str">
        <f t="shared" si="76"/>
        <v/>
      </c>
      <c r="H244" s="15" t="e">
        <f t="shared" si="69"/>
        <v>#VALUE!</v>
      </c>
      <c r="I244" s="15" t="e">
        <f t="shared" si="66"/>
        <v>#DIV/0!</v>
      </c>
      <c r="J244" s="10">
        <f t="shared" si="73"/>
        <v>0</v>
      </c>
    </row>
    <row r="245" spans="1:10" x14ac:dyDescent="0.25">
      <c r="A245" s="61" t="e">
        <f t="shared" si="64"/>
        <v>#VALUE!</v>
      </c>
      <c r="B245" s="155" t="str">
        <f t="shared" si="74"/>
        <v/>
      </c>
      <c r="C245" s="15" t="str">
        <f t="shared" si="72"/>
        <v/>
      </c>
      <c r="D245" s="123" t="str">
        <f t="shared" si="68"/>
        <v/>
      </c>
      <c r="E245" s="123" t="str">
        <f t="shared" si="65"/>
        <v/>
      </c>
      <c r="F245" s="123" t="str">
        <f t="shared" si="75"/>
        <v/>
      </c>
      <c r="G245" s="123" t="str">
        <f t="shared" si="76"/>
        <v/>
      </c>
      <c r="H245" s="15" t="e">
        <f t="shared" si="69"/>
        <v>#VALUE!</v>
      </c>
      <c r="I245" s="15" t="e">
        <f t="shared" si="66"/>
        <v>#DIV/0!</v>
      </c>
      <c r="J245" s="10">
        <f t="shared" si="73"/>
        <v>0</v>
      </c>
    </row>
    <row r="246" spans="1:10" x14ac:dyDescent="0.25">
      <c r="A246" s="61" t="e">
        <f t="shared" si="64"/>
        <v>#VALUE!</v>
      </c>
      <c r="B246" s="155" t="str">
        <f t="shared" si="74"/>
        <v/>
      </c>
      <c r="C246" s="15" t="str">
        <f t="shared" si="72"/>
        <v/>
      </c>
      <c r="D246" s="123" t="str">
        <f t="shared" si="68"/>
        <v/>
      </c>
      <c r="E246" s="123" t="str">
        <f t="shared" si="65"/>
        <v/>
      </c>
      <c r="F246" s="123" t="str">
        <f t="shared" si="75"/>
        <v/>
      </c>
      <c r="G246" s="123" t="str">
        <f t="shared" si="76"/>
        <v/>
      </c>
      <c r="H246" s="15" t="e">
        <f t="shared" si="69"/>
        <v>#VALUE!</v>
      </c>
      <c r="I246" s="15" t="e">
        <f t="shared" si="66"/>
        <v>#DIV/0!</v>
      </c>
      <c r="J246" s="10">
        <f t="shared" ref="J246:J261" si="77">IF(C246=H$7,I$17-IF(J$16=1,H246,0)-IF(A$10=2,J$20,0),0)</f>
        <v>0</v>
      </c>
    </row>
    <row r="247" spans="1:10" x14ac:dyDescent="0.25">
      <c r="A247" s="61" t="e">
        <f t="shared" si="64"/>
        <v>#VALUE!</v>
      </c>
      <c r="B247" s="155" t="str">
        <f t="shared" si="74"/>
        <v/>
      </c>
      <c r="C247" s="15" t="str">
        <f t="shared" si="72"/>
        <v/>
      </c>
      <c r="D247" s="123" t="str">
        <f t="shared" si="68"/>
        <v/>
      </c>
      <c r="E247" s="123" t="str">
        <f t="shared" si="65"/>
        <v/>
      </c>
      <c r="F247" s="123" t="str">
        <f t="shared" si="75"/>
        <v/>
      </c>
      <c r="G247" s="123" t="str">
        <f t="shared" si="76"/>
        <v/>
      </c>
      <c r="H247" s="15" t="e">
        <f t="shared" si="69"/>
        <v>#VALUE!</v>
      </c>
      <c r="I247" s="15" t="e">
        <f t="shared" si="66"/>
        <v>#DIV/0!</v>
      </c>
      <c r="J247" s="10">
        <f t="shared" si="77"/>
        <v>0</v>
      </c>
    </row>
    <row r="248" spans="1:10" x14ac:dyDescent="0.25">
      <c r="A248" s="61" t="e">
        <f t="shared" si="64"/>
        <v>#VALUE!</v>
      </c>
      <c r="B248" s="155" t="str">
        <f t="shared" ref="B248:B263" si="78">IF(OR($I$8=1,C248=""),"",IF(D$12=360,B247+1,IF(DAY(A248)&lt;DAY($A$1),A248-DAY(A248),A248)))</f>
        <v/>
      </c>
      <c r="C248" s="15" t="str">
        <f t="shared" si="72"/>
        <v/>
      </c>
      <c r="D248" s="123" t="str">
        <f t="shared" si="68"/>
        <v/>
      </c>
      <c r="E248" s="123" t="str">
        <f t="shared" si="65"/>
        <v/>
      </c>
      <c r="F248" s="123" t="str">
        <f t="shared" ref="F248:F263" si="79">IF(C248="","",IF(OR(D$16&gt;=C248,OR(C248=J$12,AND(C248&gt;=J$11,C248&lt;=J$12))),D248,IF(A$10=2,IF(I248&gt;0,H$17,H$16)+J248,D248+E248)))</f>
        <v/>
      </c>
      <c r="G248" s="123" t="str">
        <f t="shared" si="76"/>
        <v/>
      </c>
      <c r="H248" s="15" t="e">
        <f t="shared" si="69"/>
        <v>#VALUE!</v>
      </c>
      <c r="I248" s="15" t="e">
        <f t="shared" si="66"/>
        <v>#DIV/0!</v>
      </c>
      <c r="J248" s="10">
        <f t="shared" si="77"/>
        <v>0</v>
      </c>
    </row>
    <row r="249" spans="1:10" x14ac:dyDescent="0.25">
      <c r="A249" s="61" t="e">
        <f t="shared" si="64"/>
        <v>#VALUE!</v>
      </c>
      <c r="B249" s="155" t="str">
        <f t="shared" si="78"/>
        <v/>
      </c>
      <c r="C249" s="15" t="str">
        <f t="shared" si="72"/>
        <v/>
      </c>
      <c r="D249" s="123" t="str">
        <f t="shared" si="68"/>
        <v/>
      </c>
      <c r="E249" s="123" t="str">
        <f t="shared" si="65"/>
        <v/>
      </c>
      <c r="F249" s="123" t="str">
        <f t="shared" si="79"/>
        <v/>
      </c>
      <c r="G249" s="123" t="str">
        <f t="shared" si="76"/>
        <v/>
      </c>
      <c r="H249" s="15" t="e">
        <f t="shared" si="69"/>
        <v>#VALUE!</v>
      </c>
      <c r="I249" s="15" t="e">
        <f t="shared" si="66"/>
        <v>#DIV/0!</v>
      </c>
      <c r="J249" s="10">
        <f t="shared" si="77"/>
        <v>0</v>
      </c>
    </row>
    <row r="250" spans="1:10" x14ac:dyDescent="0.25">
      <c r="A250" s="61" t="e">
        <f t="shared" si="64"/>
        <v>#VALUE!</v>
      </c>
      <c r="B250" s="155" t="str">
        <f t="shared" si="78"/>
        <v/>
      </c>
      <c r="C250" s="15" t="str">
        <f t="shared" si="72"/>
        <v/>
      </c>
      <c r="D250" s="123" t="str">
        <f t="shared" si="68"/>
        <v/>
      </c>
      <c r="E250" s="123" t="str">
        <f t="shared" si="65"/>
        <v/>
      </c>
      <c r="F250" s="123" t="str">
        <f t="shared" si="79"/>
        <v/>
      </c>
      <c r="G250" s="123" t="str">
        <f t="shared" si="76"/>
        <v/>
      </c>
      <c r="H250" s="15" t="e">
        <f t="shared" si="69"/>
        <v>#VALUE!</v>
      </c>
      <c r="I250" s="15" t="e">
        <f t="shared" si="66"/>
        <v>#DIV/0!</v>
      </c>
      <c r="J250" s="10">
        <f t="shared" si="77"/>
        <v>0</v>
      </c>
    </row>
    <row r="251" spans="1:10" x14ac:dyDescent="0.25">
      <c r="A251" s="61" t="e">
        <f t="shared" si="64"/>
        <v>#VALUE!</v>
      </c>
      <c r="B251" s="155" t="str">
        <f t="shared" si="78"/>
        <v/>
      </c>
      <c r="C251" s="15" t="str">
        <f t="shared" si="72"/>
        <v/>
      </c>
      <c r="D251" s="123" t="str">
        <f t="shared" si="68"/>
        <v/>
      </c>
      <c r="E251" s="123" t="str">
        <f t="shared" si="65"/>
        <v/>
      </c>
      <c r="F251" s="123" t="str">
        <f t="shared" si="79"/>
        <v/>
      </c>
      <c r="G251" s="123" t="str">
        <f t="shared" si="76"/>
        <v/>
      </c>
      <c r="H251" s="15" t="e">
        <f t="shared" si="69"/>
        <v>#VALUE!</v>
      </c>
      <c r="I251" s="15" t="e">
        <f t="shared" si="66"/>
        <v>#DIV/0!</v>
      </c>
      <c r="J251" s="10">
        <f t="shared" si="77"/>
        <v>0</v>
      </c>
    </row>
    <row r="252" spans="1:10" x14ac:dyDescent="0.25">
      <c r="A252" s="61" t="e">
        <f t="shared" si="64"/>
        <v>#VALUE!</v>
      </c>
      <c r="B252" s="155" t="str">
        <f t="shared" si="78"/>
        <v/>
      </c>
      <c r="C252" s="15" t="str">
        <f t="shared" si="72"/>
        <v/>
      </c>
      <c r="D252" s="123" t="str">
        <f t="shared" si="68"/>
        <v/>
      </c>
      <c r="E252" s="123" t="str">
        <f t="shared" si="65"/>
        <v/>
      </c>
      <c r="F252" s="123" t="str">
        <f t="shared" si="79"/>
        <v/>
      </c>
      <c r="G252" s="123" t="str">
        <f t="shared" si="76"/>
        <v/>
      </c>
      <c r="H252" s="15" t="e">
        <f t="shared" si="69"/>
        <v>#VALUE!</v>
      </c>
      <c r="I252" s="15" t="e">
        <f t="shared" si="66"/>
        <v>#DIV/0!</v>
      </c>
      <c r="J252" s="10">
        <f t="shared" si="77"/>
        <v>0</v>
      </c>
    </row>
    <row r="253" spans="1:10" x14ac:dyDescent="0.25">
      <c r="A253" s="61" t="e">
        <f t="shared" si="64"/>
        <v>#VALUE!</v>
      </c>
      <c r="B253" s="155" t="str">
        <f t="shared" si="78"/>
        <v/>
      </c>
      <c r="C253" s="15" t="str">
        <f t="shared" ref="C253:C284" si="80">IF(OR(C252&gt;=$A$5,C252=""),"",C252+1)</f>
        <v/>
      </c>
      <c r="D253" s="123" t="str">
        <f t="shared" si="68"/>
        <v/>
      </c>
      <c r="E253" s="123" t="str">
        <f t="shared" si="65"/>
        <v/>
      </c>
      <c r="F253" s="123" t="str">
        <f t="shared" si="79"/>
        <v/>
      </c>
      <c r="G253" s="123" t="str">
        <f t="shared" si="76"/>
        <v/>
      </c>
      <c r="H253" s="15" t="e">
        <f t="shared" si="69"/>
        <v>#VALUE!</v>
      </c>
      <c r="I253" s="15" t="e">
        <f t="shared" si="66"/>
        <v>#DIV/0!</v>
      </c>
      <c r="J253" s="10">
        <f t="shared" si="77"/>
        <v>0</v>
      </c>
    </row>
    <row r="254" spans="1:10" x14ac:dyDescent="0.25">
      <c r="A254" s="61" t="e">
        <f t="shared" si="64"/>
        <v>#VALUE!</v>
      </c>
      <c r="B254" s="155" t="str">
        <f t="shared" si="78"/>
        <v/>
      </c>
      <c r="C254" s="15" t="str">
        <f t="shared" si="80"/>
        <v/>
      </c>
      <c r="D254" s="123" t="str">
        <f t="shared" si="68"/>
        <v/>
      </c>
      <c r="E254" s="123" t="str">
        <f t="shared" si="65"/>
        <v/>
      </c>
      <c r="F254" s="123" t="str">
        <f t="shared" si="79"/>
        <v/>
      </c>
      <c r="G254" s="123" t="str">
        <f t="shared" si="76"/>
        <v/>
      </c>
      <c r="H254" s="15" t="e">
        <f t="shared" si="69"/>
        <v>#VALUE!</v>
      </c>
      <c r="I254" s="15" t="e">
        <f t="shared" si="66"/>
        <v>#DIV/0!</v>
      </c>
      <c r="J254" s="10">
        <f t="shared" si="77"/>
        <v>0</v>
      </c>
    </row>
    <row r="255" spans="1:10" x14ac:dyDescent="0.25">
      <c r="A255" s="61" t="e">
        <f t="shared" si="64"/>
        <v>#VALUE!</v>
      </c>
      <c r="B255" s="155" t="str">
        <f t="shared" si="78"/>
        <v/>
      </c>
      <c r="C255" s="15" t="str">
        <f t="shared" si="80"/>
        <v/>
      </c>
      <c r="D255" s="123" t="str">
        <f t="shared" si="68"/>
        <v/>
      </c>
      <c r="E255" s="123" t="str">
        <f t="shared" si="65"/>
        <v/>
      </c>
      <c r="F255" s="123" t="str">
        <f t="shared" si="79"/>
        <v/>
      </c>
      <c r="G255" s="123" t="str">
        <f t="shared" si="76"/>
        <v/>
      </c>
      <c r="H255" s="15" t="e">
        <f t="shared" si="69"/>
        <v>#VALUE!</v>
      </c>
      <c r="I255" s="15" t="e">
        <f t="shared" si="66"/>
        <v>#DIV/0!</v>
      </c>
      <c r="J255" s="10">
        <f t="shared" si="77"/>
        <v>0</v>
      </c>
    </row>
    <row r="256" spans="1:10" x14ac:dyDescent="0.25">
      <c r="A256" s="61" t="e">
        <f t="shared" si="64"/>
        <v>#VALUE!</v>
      </c>
      <c r="B256" s="155" t="str">
        <f t="shared" si="78"/>
        <v/>
      </c>
      <c r="C256" s="15" t="str">
        <f t="shared" si="80"/>
        <v/>
      </c>
      <c r="D256" s="123" t="str">
        <f t="shared" si="68"/>
        <v/>
      </c>
      <c r="E256" s="123" t="str">
        <f t="shared" si="65"/>
        <v/>
      </c>
      <c r="F256" s="123" t="str">
        <f t="shared" si="79"/>
        <v/>
      </c>
      <c r="G256" s="123" t="str">
        <f t="shared" si="76"/>
        <v/>
      </c>
      <c r="H256" s="15" t="e">
        <f t="shared" si="69"/>
        <v>#VALUE!</v>
      </c>
      <c r="I256" s="15" t="e">
        <f t="shared" si="66"/>
        <v>#DIV/0!</v>
      </c>
      <c r="J256" s="10">
        <f t="shared" si="77"/>
        <v>0</v>
      </c>
    </row>
    <row r="257" spans="1:10" x14ac:dyDescent="0.25">
      <c r="A257" s="61" t="e">
        <f t="shared" si="64"/>
        <v>#VALUE!</v>
      </c>
      <c r="B257" s="155" t="str">
        <f t="shared" si="78"/>
        <v/>
      </c>
      <c r="C257" s="15" t="str">
        <f t="shared" si="80"/>
        <v/>
      </c>
      <c r="D257" s="123" t="str">
        <f t="shared" si="68"/>
        <v/>
      </c>
      <c r="E257" s="123" t="str">
        <f t="shared" si="65"/>
        <v/>
      </c>
      <c r="F257" s="123" t="str">
        <f t="shared" si="79"/>
        <v/>
      </c>
      <c r="G257" s="123" t="str">
        <f t="shared" si="76"/>
        <v/>
      </c>
      <c r="H257" s="15" t="e">
        <f t="shared" si="69"/>
        <v>#VALUE!</v>
      </c>
      <c r="I257" s="15" t="e">
        <f t="shared" si="66"/>
        <v>#DIV/0!</v>
      </c>
      <c r="J257" s="10">
        <f t="shared" si="77"/>
        <v>0</v>
      </c>
    </row>
    <row r="258" spans="1:10" x14ac:dyDescent="0.25">
      <c r="A258" s="61" t="e">
        <f t="shared" si="64"/>
        <v>#VALUE!</v>
      </c>
      <c r="B258" s="155" t="str">
        <f t="shared" si="78"/>
        <v/>
      </c>
      <c r="C258" s="15" t="str">
        <f t="shared" si="80"/>
        <v/>
      </c>
      <c r="D258" s="123" t="str">
        <f t="shared" si="68"/>
        <v/>
      </c>
      <c r="E258" s="123" t="str">
        <f t="shared" si="65"/>
        <v/>
      </c>
      <c r="F258" s="123" t="str">
        <f t="shared" si="79"/>
        <v/>
      </c>
      <c r="G258" s="123" t="str">
        <f t="shared" si="76"/>
        <v/>
      </c>
      <c r="H258" s="15" t="e">
        <f t="shared" si="69"/>
        <v>#VALUE!</v>
      </c>
      <c r="I258" s="15" t="e">
        <f t="shared" si="66"/>
        <v>#DIV/0!</v>
      </c>
      <c r="J258" s="10">
        <f t="shared" si="77"/>
        <v>0</v>
      </c>
    </row>
    <row r="259" spans="1:10" x14ac:dyDescent="0.25">
      <c r="A259" s="61" t="e">
        <f t="shared" si="64"/>
        <v>#VALUE!</v>
      </c>
      <c r="B259" s="155" t="str">
        <f t="shared" si="78"/>
        <v/>
      </c>
      <c r="C259" s="15" t="str">
        <f t="shared" si="80"/>
        <v/>
      </c>
      <c r="D259" s="123" t="str">
        <f t="shared" si="68"/>
        <v/>
      </c>
      <c r="E259" s="123" t="str">
        <f t="shared" si="65"/>
        <v/>
      </c>
      <c r="F259" s="123" t="str">
        <f t="shared" si="79"/>
        <v/>
      </c>
      <c r="G259" s="123" t="str">
        <f t="shared" si="76"/>
        <v/>
      </c>
      <c r="H259" s="15" t="e">
        <f t="shared" si="69"/>
        <v>#VALUE!</v>
      </c>
      <c r="I259" s="15" t="e">
        <f t="shared" si="66"/>
        <v>#DIV/0!</v>
      </c>
      <c r="J259" s="10">
        <f t="shared" si="77"/>
        <v>0</v>
      </c>
    </row>
    <row r="260" spans="1:10" x14ac:dyDescent="0.25">
      <c r="A260" s="61" t="e">
        <f t="shared" si="64"/>
        <v>#VALUE!</v>
      </c>
      <c r="B260" s="155" t="str">
        <f t="shared" si="78"/>
        <v/>
      </c>
      <c r="C260" s="15" t="str">
        <f t="shared" si="80"/>
        <v/>
      </c>
      <c r="D260" s="123" t="str">
        <f t="shared" si="68"/>
        <v/>
      </c>
      <c r="E260" s="123" t="str">
        <f t="shared" si="65"/>
        <v/>
      </c>
      <c r="F260" s="123" t="str">
        <f t="shared" si="79"/>
        <v/>
      </c>
      <c r="G260" s="123" t="str">
        <f t="shared" si="76"/>
        <v/>
      </c>
      <c r="H260" s="15" t="e">
        <f t="shared" si="69"/>
        <v>#VALUE!</v>
      </c>
      <c r="I260" s="15" t="e">
        <f t="shared" si="66"/>
        <v>#DIV/0!</v>
      </c>
      <c r="J260" s="10">
        <f t="shared" si="77"/>
        <v>0</v>
      </c>
    </row>
    <row r="261" spans="1:10" x14ac:dyDescent="0.25">
      <c r="A261" s="61" t="e">
        <f t="shared" si="64"/>
        <v>#VALUE!</v>
      </c>
      <c r="B261" s="155" t="str">
        <f t="shared" si="78"/>
        <v/>
      </c>
      <c r="C261" s="15" t="str">
        <f t="shared" si="80"/>
        <v/>
      </c>
      <c r="D261" s="123" t="str">
        <f t="shared" si="68"/>
        <v/>
      </c>
      <c r="E261" s="123" t="str">
        <f t="shared" si="65"/>
        <v/>
      </c>
      <c r="F261" s="123" t="str">
        <f t="shared" si="79"/>
        <v/>
      </c>
      <c r="G261" s="123" t="str">
        <f t="shared" si="76"/>
        <v/>
      </c>
      <c r="H261" s="15" t="e">
        <f t="shared" si="69"/>
        <v>#VALUE!</v>
      </c>
      <c r="I261" s="15" t="e">
        <f t="shared" si="66"/>
        <v>#DIV/0!</v>
      </c>
      <c r="J261" s="10">
        <f t="shared" si="77"/>
        <v>0</v>
      </c>
    </row>
    <row r="262" spans="1:10" x14ac:dyDescent="0.25">
      <c r="A262" s="61" t="e">
        <f t="shared" si="64"/>
        <v>#VALUE!</v>
      </c>
      <c r="B262" s="155" t="str">
        <f t="shared" si="78"/>
        <v/>
      </c>
      <c r="C262" s="15" t="str">
        <f t="shared" si="80"/>
        <v/>
      </c>
      <c r="D262" s="123" t="str">
        <f t="shared" si="68"/>
        <v/>
      </c>
      <c r="E262" s="123" t="str">
        <f t="shared" si="65"/>
        <v/>
      </c>
      <c r="F262" s="123" t="str">
        <f t="shared" si="79"/>
        <v/>
      </c>
      <c r="G262" s="123" t="str">
        <f t="shared" si="76"/>
        <v/>
      </c>
      <c r="H262" s="15" t="e">
        <f t="shared" si="69"/>
        <v>#VALUE!</v>
      </c>
      <c r="I262" s="15" t="e">
        <f t="shared" si="66"/>
        <v>#DIV/0!</v>
      </c>
      <c r="J262" s="10">
        <f t="shared" ref="J262:J277" si="81">IF(C262=H$7,I$17-IF(J$16=1,H262,0)-IF(A$10=2,J$20,0),0)</f>
        <v>0</v>
      </c>
    </row>
    <row r="263" spans="1:10" x14ac:dyDescent="0.25">
      <c r="A263" s="61" t="e">
        <f t="shared" si="64"/>
        <v>#VALUE!</v>
      </c>
      <c r="B263" s="155" t="str">
        <f t="shared" si="78"/>
        <v/>
      </c>
      <c r="C263" s="15" t="str">
        <f t="shared" si="80"/>
        <v/>
      </c>
      <c r="D263" s="123" t="str">
        <f t="shared" si="68"/>
        <v/>
      </c>
      <c r="E263" s="123" t="str">
        <f t="shared" si="65"/>
        <v/>
      </c>
      <c r="F263" s="123" t="str">
        <f t="shared" si="79"/>
        <v/>
      </c>
      <c r="G263" s="123" t="str">
        <f t="shared" si="76"/>
        <v/>
      </c>
      <c r="H263" s="15" t="e">
        <f t="shared" si="69"/>
        <v>#VALUE!</v>
      </c>
      <c r="I263" s="15" t="e">
        <f t="shared" si="66"/>
        <v>#DIV/0!</v>
      </c>
      <c r="J263" s="10">
        <f t="shared" si="81"/>
        <v>0</v>
      </c>
    </row>
    <row r="264" spans="1:10" x14ac:dyDescent="0.25">
      <c r="A264" s="61" t="e">
        <f t="shared" si="64"/>
        <v>#VALUE!</v>
      </c>
      <c r="B264" s="155" t="str">
        <f t="shared" ref="B264:B279" si="82">IF(OR($I$8=1,C264=""),"",IF(D$12=360,B263+1,IF(DAY(A264)&lt;DAY($A$1),A264-DAY(A264),A264)))</f>
        <v/>
      </c>
      <c r="C264" s="15" t="str">
        <f t="shared" si="80"/>
        <v/>
      </c>
      <c r="D264" s="123" t="str">
        <f t="shared" si="68"/>
        <v/>
      </c>
      <c r="E264" s="123" t="str">
        <f t="shared" si="65"/>
        <v/>
      </c>
      <c r="F264" s="123" t="str">
        <f t="shared" ref="F264:F279" si="83">IF(C264="","",IF(OR(D$16&gt;=C264,OR(C264=J$12,AND(C264&gt;=J$11,C264&lt;=J$12))),D264,IF(A$10=2,IF(I264&gt;0,H$17,H$16)+J264,D264+E264)))</f>
        <v/>
      </c>
      <c r="G264" s="123" t="str">
        <f t="shared" si="76"/>
        <v/>
      </c>
      <c r="H264" s="15" t="e">
        <f t="shared" si="69"/>
        <v>#VALUE!</v>
      </c>
      <c r="I264" s="15" t="e">
        <f t="shared" si="66"/>
        <v>#DIV/0!</v>
      </c>
      <c r="J264" s="10">
        <f t="shared" si="81"/>
        <v>0</v>
      </c>
    </row>
    <row r="265" spans="1:10" x14ac:dyDescent="0.25">
      <c r="A265" s="61" t="e">
        <f t="shared" si="64"/>
        <v>#VALUE!</v>
      </c>
      <c r="B265" s="155" t="str">
        <f t="shared" si="82"/>
        <v/>
      </c>
      <c r="C265" s="15" t="str">
        <f t="shared" si="80"/>
        <v/>
      </c>
      <c r="D265" s="123" t="str">
        <f t="shared" si="68"/>
        <v/>
      </c>
      <c r="E265" s="123" t="str">
        <f t="shared" si="65"/>
        <v/>
      </c>
      <c r="F265" s="123" t="str">
        <f t="shared" si="83"/>
        <v/>
      </c>
      <c r="G265" s="123" t="str">
        <f t="shared" si="76"/>
        <v/>
      </c>
      <c r="H265" s="15" t="e">
        <f t="shared" si="69"/>
        <v>#VALUE!</v>
      </c>
      <c r="I265" s="15" t="e">
        <f t="shared" si="66"/>
        <v>#DIV/0!</v>
      </c>
      <c r="J265" s="10">
        <f t="shared" si="81"/>
        <v>0</v>
      </c>
    </row>
    <row r="266" spans="1:10" x14ac:dyDescent="0.25">
      <c r="A266" s="61" t="e">
        <f t="shared" si="64"/>
        <v>#VALUE!</v>
      </c>
      <c r="B266" s="155" t="str">
        <f t="shared" si="82"/>
        <v/>
      </c>
      <c r="C266" s="15" t="str">
        <f t="shared" si="80"/>
        <v/>
      </c>
      <c r="D266" s="123" t="str">
        <f t="shared" si="68"/>
        <v/>
      </c>
      <c r="E266" s="123" t="str">
        <f t="shared" si="65"/>
        <v/>
      </c>
      <c r="F266" s="123" t="str">
        <f t="shared" si="83"/>
        <v/>
      </c>
      <c r="G266" s="123" t="str">
        <f t="shared" si="76"/>
        <v/>
      </c>
      <c r="H266" s="15" t="e">
        <f t="shared" si="69"/>
        <v>#VALUE!</v>
      </c>
      <c r="I266" s="15" t="e">
        <f t="shared" si="66"/>
        <v>#DIV/0!</v>
      </c>
      <c r="J266" s="10">
        <f t="shared" si="81"/>
        <v>0</v>
      </c>
    </row>
    <row r="267" spans="1:10" x14ac:dyDescent="0.25">
      <c r="A267" s="61" t="e">
        <f t="shared" si="64"/>
        <v>#VALUE!</v>
      </c>
      <c r="B267" s="155" t="str">
        <f t="shared" si="82"/>
        <v/>
      </c>
      <c r="C267" s="15" t="str">
        <f t="shared" si="80"/>
        <v/>
      </c>
      <c r="D267" s="123" t="str">
        <f t="shared" si="68"/>
        <v/>
      </c>
      <c r="E267" s="123" t="str">
        <f t="shared" si="65"/>
        <v/>
      </c>
      <c r="F267" s="123" t="str">
        <f t="shared" si="83"/>
        <v/>
      </c>
      <c r="G267" s="123" t="str">
        <f t="shared" si="76"/>
        <v/>
      </c>
      <c r="H267" s="15" t="e">
        <f t="shared" si="69"/>
        <v>#VALUE!</v>
      </c>
      <c r="I267" s="15" t="e">
        <f t="shared" si="66"/>
        <v>#DIV/0!</v>
      </c>
      <c r="J267" s="10">
        <f t="shared" si="81"/>
        <v>0</v>
      </c>
    </row>
    <row r="268" spans="1:10" x14ac:dyDescent="0.25">
      <c r="A268" s="61" t="e">
        <f t="shared" si="64"/>
        <v>#VALUE!</v>
      </c>
      <c r="B268" s="155" t="str">
        <f t="shared" si="82"/>
        <v/>
      </c>
      <c r="C268" s="15" t="str">
        <f t="shared" si="80"/>
        <v/>
      </c>
      <c r="D268" s="123" t="str">
        <f t="shared" si="68"/>
        <v/>
      </c>
      <c r="E268" s="123" t="str">
        <f t="shared" si="65"/>
        <v/>
      </c>
      <c r="F268" s="123" t="str">
        <f t="shared" si="83"/>
        <v/>
      </c>
      <c r="G268" s="123" t="str">
        <f t="shared" si="76"/>
        <v/>
      </c>
      <c r="H268" s="15" t="e">
        <f t="shared" si="69"/>
        <v>#VALUE!</v>
      </c>
      <c r="I268" s="15" t="e">
        <f t="shared" si="66"/>
        <v>#DIV/0!</v>
      </c>
      <c r="J268" s="10">
        <f t="shared" si="81"/>
        <v>0</v>
      </c>
    </row>
    <row r="269" spans="1:10" x14ac:dyDescent="0.25">
      <c r="A269" s="61" t="e">
        <f t="shared" si="64"/>
        <v>#VALUE!</v>
      </c>
      <c r="B269" s="155" t="str">
        <f t="shared" si="82"/>
        <v/>
      </c>
      <c r="C269" s="15" t="str">
        <f t="shared" si="80"/>
        <v/>
      </c>
      <c r="D269" s="123" t="str">
        <f t="shared" si="68"/>
        <v/>
      </c>
      <c r="E269" s="123" t="str">
        <f t="shared" si="65"/>
        <v/>
      </c>
      <c r="F269" s="123" t="str">
        <f t="shared" si="83"/>
        <v/>
      </c>
      <c r="G269" s="123" t="str">
        <f t="shared" si="76"/>
        <v/>
      </c>
      <c r="H269" s="15" t="e">
        <f t="shared" si="69"/>
        <v>#VALUE!</v>
      </c>
      <c r="I269" s="15" t="e">
        <f t="shared" si="66"/>
        <v>#DIV/0!</v>
      </c>
      <c r="J269" s="10">
        <f t="shared" si="81"/>
        <v>0</v>
      </c>
    </row>
    <row r="270" spans="1:10" x14ac:dyDescent="0.25">
      <c r="A270" s="61" t="e">
        <f t="shared" si="64"/>
        <v>#VALUE!</v>
      </c>
      <c r="B270" s="155" t="str">
        <f t="shared" si="82"/>
        <v/>
      </c>
      <c r="C270" s="15" t="str">
        <f t="shared" si="80"/>
        <v/>
      </c>
      <c r="D270" s="123" t="str">
        <f t="shared" si="68"/>
        <v/>
      </c>
      <c r="E270" s="123" t="str">
        <f t="shared" si="65"/>
        <v/>
      </c>
      <c r="F270" s="123" t="str">
        <f t="shared" si="83"/>
        <v/>
      </c>
      <c r="G270" s="123" t="str">
        <f t="shared" si="76"/>
        <v/>
      </c>
      <c r="H270" s="15" t="e">
        <f t="shared" si="69"/>
        <v>#VALUE!</v>
      </c>
      <c r="I270" s="15" t="e">
        <f t="shared" si="66"/>
        <v>#DIV/0!</v>
      </c>
      <c r="J270" s="10">
        <f t="shared" si="81"/>
        <v>0</v>
      </c>
    </row>
    <row r="271" spans="1:10" x14ac:dyDescent="0.25">
      <c r="A271" s="61" t="e">
        <f t="shared" si="64"/>
        <v>#VALUE!</v>
      </c>
      <c r="B271" s="155" t="str">
        <f t="shared" si="82"/>
        <v/>
      </c>
      <c r="C271" s="15" t="str">
        <f t="shared" si="80"/>
        <v/>
      </c>
      <c r="D271" s="123" t="str">
        <f t="shared" si="68"/>
        <v/>
      </c>
      <c r="E271" s="123" t="str">
        <f t="shared" si="65"/>
        <v/>
      </c>
      <c r="F271" s="123" t="str">
        <f t="shared" si="83"/>
        <v/>
      </c>
      <c r="G271" s="123" t="str">
        <f t="shared" si="76"/>
        <v/>
      </c>
      <c r="H271" s="15" t="e">
        <f t="shared" si="69"/>
        <v>#VALUE!</v>
      </c>
      <c r="I271" s="15" t="e">
        <f t="shared" si="66"/>
        <v>#DIV/0!</v>
      </c>
      <c r="J271" s="10">
        <f t="shared" si="81"/>
        <v>0</v>
      </c>
    </row>
    <row r="272" spans="1:10" x14ac:dyDescent="0.25">
      <c r="A272" s="61" t="e">
        <f t="shared" si="64"/>
        <v>#VALUE!</v>
      </c>
      <c r="B272" s="155" t="str">
        <f t="shared" si="82"/>
        <v/>
      </c>
      <c r="C272" s="15" t="str">
        <f t="shared" si="80"/>
        <v/>
      </c>
      <c r="D272" s="123" t="str">
        <f t="shared" si="68"/>
        <v/>
      </c>
      <c r="E272" s="123" t="str">
        <f t="shared" si="65"/>
        <v/>
      </c>
      <c r="F272" s="123" t="str">
        <f t="shared" si="83"/>
        <v/>
      </c>
      <c r="G272" s="123" t="str">
        <f t="shared" si="76"/>
        <v/>
      </c>
      <c r="H272" s="15" t="e">
        <f t="shared" si="69"/>
        <v>#VALUE!</v>
      </c>
      <c r="I272" s="15" t="e">
        <f t="shared" si="66"/>
        <v>#DIV/0!</v>
      </c>
      <c r="J272" s="10">
        <f t="shared" si="81"/>
        <v>0</v>
      </c>
    </row>
    <row r="273" spans="1:10" x14ac:dyDescent="0.25">
      <c r="A273" s="61" t="e">
        <f t="shared" si="64"/>
        <v>#VALUE!</v>
      </c>
      <c r="B273" s="155" t="str">
        <f t="shared" si="82"/>
        <v/>
      </c>
      <c r="C273" s="15" t="str">
        <f t="shared" si="80"/>
        <v/>
      </c>
      <c r="D273" s="123" t="str">
        <f t="shared" si="68"/>
        <v/>
      </c>
      <c r="E273" s="123" t="str">
        <f t="shared" si="65"/>
        <v/>
      </c>
      <c r="F273" s="123" t="str">
        <f t="shared" si="83"/>
        <v/>
      </c>
      <c r="G273" s="123" t="str">
        <f t="shared" ref="G273:G304" si="84">IF(C273="","",G272-E273)</f>
        <v/>
      </c>
      <c r="H273" s="15" t="e">
        <f t="shared" si="69"/>
        <v>#VALUE!</v>
      </c>
      <c r="I273" s="15" t="e">
        <f t="shared" si="66"/>
        <v>#DIV/0!</v>
      </c>
      <c r="J273" s="10">
        <f t="shared" si="81"/>
        <v>0</v>
      </c>
    </row>
    <row r="274" spans="1:10" x14ac:dyDescent="0.25">
      <c r="A274" s="61" t="e">
        <f t="shared" si="64"/>
        <v>#VALUE!</v>
      </c>
      <c r="B274" s="155" t="str">
        <f t="shared" si="82"/>
        <v/>
      </c>
      <c r="C274" s="15" t="str">
        <f t="shared" si="80"/>
        <v/>
      </c>
      <c r="D274" s="123" t="str">
        <f t="shared" si="68"/>
        <v/>
      </c>
      <c r="E274" s="123" t="str">
        <f t="shared" si="65"/>
        <v/>
      </c>
      <c r="F274" s="123" t="str">
        <f t="shared" si="83"/>
        <v/>
      </c>
      <c r="G274" s="123" t="str">
        <f t="shared" si="84"/>
        <v/>
      </c>
      <c r="H274" s="15" t="e">
        <f t="shared" si="69"/>
        <v>#VALUE!</v>
      </c>
      <c r="I274" s="15" t="e">
        <f t="shared" si="66"/>
        <v>#DIV/0!</v>
      </c>
      <c r="J274" s="10">
        <f t="shared" si="81"/>
        <v>0</v>
      </c>
    </row>
    <row r="275" spans="1:10" x14ac:dyDescent="0.25">
      <c r="A275" s="61" t="e">
        <f t="shared" si="64"/>
        <v>#VALUE!</v>
      </c>
      <c r="B275" s="155" t="str">
        <f t="shared" si="82"/>
        <v/>
      </c>
      <c r="C275" s="15" t="str">
        <f t="shared" si="80"/>
        <v/>
      </c>
      <c r="D275" s="123" t="str">
        <f t="shared" si="68"/>
        <v/>
      </c>
      <c r="E275" s="123" t="str">
        <f t="shared" si="65"/>
        <v/>
      </c>
      <c r="F275" s="123" t="str">
        <f t="shared" si="83"/>
        <v/>
      </c>
      <c r="G275" s="123" t="str">
        <f t="shared" si="84"/>
        <v/>
      </c>
      <c r="H275" s="15" t="e">
        <f t="shared" si="69"/>
        <v>#VALUE!</v>
      </c>
      <c r="I275" s="15" t="e">
        <f t="shared" si="66"/>
        <v>#DIV/0!</v>
      </c>
      <c r="J275" s="10">
        <f t="shared" si="81"/>
        <v>0</v>
      </c>
    </row>
    <row r="276" spans="1:10" x14ac:dyDescent="0.25">
      <c r="A276" s="61" t="e">
        <f t="shared" si="64"/>
        <v>#VALUE!</v>
      </c>
      <c r="B276" s="155" t="str">
        <f t="shared" si="82"/>
        <v/>
      </c>
      <c r="C276" s="15" t="str">
        <f t="shared" si="80"/>
        <v/>
      </c>
      <c r="D276" s="123" t="str">
        <f t="shared" si="68"/>
        <v/>
      </c>
      <c r="E276" s="123" t="str">
        <f t="shared" si="65"/>
        <v/>
      </c>
      <c r="F276" s="123" t="str">
        <f t="shared" si="83"/>
        <v/>
      </c>
      <c r="G276" s="123" t="str">
        <f t="shared" si="84"/>
        <v/>
      </c>
      <c r="H276" s="15" t="e">
        <f t="shared" si="69"/>
        <v>#VALUE!</v>
      </c>
      <c r="I276" s="15" t="e">
        <f t="shared" si="66"/>
        <v>#DIV/0!</v>
      </c>
      <c r="J276" s="10">
        <f t="shared" si="81"/>
        <v>0</v>
      </c>
    </row>
    <row r="277" spans="1:10" x14ac:dyDescent="0.25">
      <c r="A277" s="61" t="e">
        <f t="shared" si="64"/>
        <v>#VALUE!</v>
      </c>
      <c r="B277" s="155" t="str">
        <f t="shared" si="82"/>
        <v/>
      </c>
      <c r="C277" s="15" t="str">
        <f t="shared" si="80"/>
        <v/>
      </c>
      <c r="D277" s="123" t="str">
        <f t="shared" si="68"/>
        <v/>
      </c>
      <c r="E277" s="123" t="str">
        <f t="shared" si="65"/>
        <v/>
      </c>
      <c r="F277" s="123" t="str">
        <f t="shared" si="83"/>
        <v/>
      </c>
      <c r="G277" s="123" t="str">
        <f t="shared" si="84"/>
        <v/>
      </c>
      <c r="H277" s="15" t="e">
        <f t="shared" si="69"/>
        <v>#VALUE!</v>
      </c>
      <c r="I277" s="15" t="e">
        <f t="shared" si="66"/>
        <v>#DIV/0!</v>
      </c>
      <c r="J277" s="10">
        <f t="shared" si="81"/>
        <v>0</v>
      </c>
    </row>
    <row r="278" spans="1:10" x14ac:dyDescent="0.25">
      <c r="A278" s="61" t="e">
        <f t="shared" ref="A278:A325" si="85">DATE(YEAR(A$1),MONTH(A$1)+A$4*(C278-A$2),DAY(A$1))+A$3</f>
        <v>#VALUE!</v>
      </c>
      <c r="B278" s="155" t="str">
        <f t="shared" si="82"/>
        <v/>
      </c>
      <c r="C278" s="15" t="str">
        <f t="shared" si="80"/>
        <v/>
      </c>
      <c r="D278" s="123" t="str">
        <f t="shared" si="68"/>
        <v/>
      </c>
      <c r="E278" s="123" t="str">
        <f t="shared" ref="E278:E325" si="86">IF(C276=$A$5,K$5,IF(C278="","",IF(OR(C278=J$12,AND(C278&gt;=J$11,C278&lt;=J$12)),0,IF(A$10=2,F278-D278,IF(I278&gt;0,I278,H278)+J278))))</f>
        <v/>
      </c>
      <c r="F278" s="123" t="str">
        <f t="shared" si="83"/>
        <v/>
      </c>
      <c r="G278" s="123" t="str">
        <f t="shared" si="84"/>
        <v/>
      </c>
      <c r="H278" s="15" t="e">
        <f t="shared" si="69"/>
        <v>#VALUE!</v>
      </c>
      <c r="I278" s="15" t="e">
        <f t="shared" ref="I278:I325" si="87">IF(C278&lt;=H$7,0,(((H$3-D$11)/(100*D$12))*((1+(D$11/(100*D$12)))^(C277-H$7)))*H$2)</f>
        <v>#DIV/0!</v>
      </c>
      <c r="J278" s="10">
        <f t="shared" ref="J278:J293" si="88">IF(C278=H$7,I$17-IF(J$16=1,H278,0)-IF(A$10=2,J$20,0),0)</f>
        <v>0</v>
      </c>
    </row>
    <row r="279" spans="1:10" x14ac:dyDescent="0.25">
      <c r="A279" s="61" t="e">
        <f t="shared" si="85"/>
        <v>#VALUE!</v>
      </c>
      <c r="B279" s="155" t="str">
        <f t="shared" si="82"/>
        <v/>
      </c>
      <c r="C279" s="15" t="str">
        <f t="shared" si="80"/>
        <v/>
      </c>
      <c r="D279" s="123" t="str">
        <f t="shared" ref="D279:D325" si="89">IF(C277=A$5,K$4,IF(C279="","",ROUND((G278-IF(D$13=1,E279,0))*A$6-IF(C279=H$7,J$20,0),A$10)))</f>
        <v/>
      </c>
      <c r="E279" s="123" t="str">
        <f t="shared" si="86"/>
        <v/>
      </c>
      <c r="F279" s="123" t="str">
        <f t="shared" si="83"/>
        <v/>
      </c>
      <c r="G279" s="123" t="str">
        <f t="shared" si="84"/>
        <v/>
      </c>
      <c r="H279" s="15" t="e">
        <f t="shared" ref="H279:H325" si="90">IF(C279&gt;$D$16,((($H$9-$D$11)/(100*$D$12))*((1+($D$11/(100*$D$12)))^(C278-$D$16)))*$D$9,0)</f>
        <v>#VALUE!</v>
      </c>
      <c r="I279" s="15" t="e">
        <f t="shared" si="87"/>
        <v>#DIV/0!</v>
      </c>
      <c r="J279" s="10">
        <f t="shared" si="88"/>
        <v>0</v>
      </c>
    </row>
    <row r="280" spans="1:10" x14ac:dyDescent="0.25">
      <c r="A280" s="61" t="e">
        <f t="shared" si="85"/>
        <v>#VALUE!</v>
      </c>
      <c r="B280" s="155" t="str">
        <f t="shared" ref="B280:B295" si="91">IF(OR($I$8=1,C280=""),"",IF(D$12=360,B279+1,IF(DAY(A280)&lt;DAY($A$1),A280-DAY(A280),A280)))</f>
        <v/>
      </c>
      <c r="C280" s="15" t="str">
        <f t="shared" si="80"/>
        <v/>
      </c>
      <c r="D280" s="123" t="str">
        <f t="shared" si="89"/>
        <v/>
      </c>
      <c r="E280" s="123" t="str">
        <f t="shared" si="86"/>
        <v/>
      </c>
      <c r="F280" s="123" t="str">
        <f t="shared" ref="F280:F295" si="92">IF(C280="","",IF(OR(D$16&gt;=C280,OR(C280=J$12,AND(C280&gt;=J$11,C280&lt;=J$12))),D280,IF(A$10=2,IF(I280&gt;0,H$17,H$16)+J280,D280+E280)))</f>
        <v/>
      </c>
      <c r="G280" s="123" t="str">
        <f t="shared" si="84"/>
        <v/>
      </c>
      <c r="H280" s="15" t="e">
        <f t="shared" si="90"/>
        <v>#VALUE!</v>
      </c>
      <c r="I280" s="15" t="e">
        <f t="shared" si="87"/>
        <v>#DIV/0!</v>
      </c>
      <c r="J280" s="10">
        <f t="shared" si="88"/>
        <v>0</v>
      </c>
    </row>
    <row r="281" spans="1:10" x14ac:dyDescent="0.25">
      <c r="A281" s="61" t="e">
        <f t="shared" si="85"/>
        <v>#VALUE!</v>
      </c>
      <c r="B281" s="155" t="str">
        <f t="shared" si="91"/>
        <v/>
      </c>
      <c r="C281" s="15" t="str">
        <f t="shared" si="80"/>
        <v/>
      </c>
      <c r="D281" s="123" t="str">
        <f t="shared" si="89"/>
        <v/>
      </c>
      <c r="E281" s="123" t="str">
        <f t="shared" si="86"/>
        <v/>
      </c>
      <c r="F281" s="123" t="str">
        <f t="shared" si="92"/>
        <v/>
      </c>
      <c r="G281" s="123" t="str">
        <f t="shared" si="84"/>
        <v/>
      </c>
      <c r="H281" s="15" t="e">
        <f t="shared" si="90"/>
        <v>#VALUE!</v>
      </c>
      <c r="I281" s="15" t="e">
        <f t="shared" si="87"/>
        <v>#DIV/0!</v>
      </c>
      <c r="J281" s="10">
        <f t="shared" si="88"/>
        <v>0</v>
      </c>
    </row>
    <row r="282" spans="1:10" x14ac:dyDescent="0.25">
      <c r="A282" s="61" t="e">
        <f t="shared" si="85"/>
        <v>#VALUE!</v>
      </c>
      <c r="B282" s="155" t="str">
        <f t="shared" si="91"/>
        <v/>
      </c>
      <c r="C282" s="15" t="str">
        <f t="shared" si="80"/>
        <v/>
      </c>
      <c r="D282" s="123" t="str">
        <f t="shared" si="89"/>
        <v/>
      </c>
      <c r="E282" s="123" t="str">
        <f t="shared" si="86"/>
        <v/>
      </c>
      <c r="F282" s="123" t="str">
        <f t="shared" si="92"/>
        <v/>
      </c>
      <c r="G282" s="123" t="str">
        <f t="shared" si="84"/>
        <v/>
      </c>
      <c r="H282" s="15" t="e">
        <f t="shared" si="90"/>
        <v>#VALUE!</v>
      </c>
      <c r="I282" s="15" t="e">
        <f t="shared" si="87"/>
        <v>#DIV/0!</v>
      </c>
      <c r="J282" s="10">
        <f t="shared" si="88"/>
        <v>0</v>
      </c>
    </row>
    <row r="283" spans="1:10" x14ac:dyDescent="0.25">
      <c r="A283" s="61" t="e">
        <f t="shared" si="85"/>
        <v>#VALUE!</v>
      </c>
      <c r="B283" s="155" t="str">
        <f t="shared" si="91"/>
        <v/>
      </c>
      <c r="C283" s="15" t="str">
        <f t="shared" si="80"/>
        <v/>
      </c>
      <c r="D283" s="123" t="str">
        <f t="shared" si="89"/>
        <v/>
      </c>
      <c r="E283" s="123" t="str">
        <f t="shared" si="86"/>
        <v/>
      </c>
      <c r="F283" s="123" t="str">
        <f t="shared" si="92"/>
        <v/>
      </c>
      <c r="G283" s="123" t="str">
        <f t="shared" si="84"/>
        <v/>
      </c>
      <c r="H283" s="15" t="e">
        <f t="shared" si="90"/>
        <v>#VALUE!</v>
      </c>
      <c r="I283" s="15" t="e">
        <f t="shared" si="87"/>
        <v>#DIV/0!</v>
      </c>
      <c r="J283" s="10">
        <f t="shared" si="88"/>
        <v>0</v>
      </c>
    </row>
    <row r="284" spans="1:10" x14ac:dyDescent="0.25">
      <c r="A284" s="61" t="e">
        <f t="shared" si="85"/>
        <v>#VALUE!</v>
      </c>
      <c r="B284" s="155" t="str">
        <f t="shared" si="91"/>
        <v/>
      </c>
      <c r="C284" s="15" t="str">
        <f t="shared" si="80"/>
        <v/>
      </c>
      <c r="D284" s="123" t="str">
        <f t="shared" si="89"/>
        <v/>
      </c>
      <c r="E284" s="123" t="str">
        <f t="shared" si="86"/>
        <v/>
      </c>
      <c r="F284" s="123" t="str">
        <f t="shared" si="92"/>
        <v/>
      </c>
      <c r="G284" s="123" t="str">
        <f t="shared" si="84"/>
        <v/>
      </c>
      <c r="H284" s="15" t="e">
        <f t="shared" si="90"/>
        <v>#VALUE!</v>
      </c>
      <c r="I284" s="15" t="e">
        <f t="shared" si="87"/>
        <v>#DIV/0!</v>
      </c>
      <c r="J284" s="10">
        <f t="shared" si="88"/>
        <v>0</v>
      </c>
    </row>
    <row r="285" spans="1:10" x14ac:dyDescent="0.25">
      <c r="A285" s="61" t="e">
        <f t="shared" si="85"/>
        <v>#VALUE!</v>
      </c>
      <c r="B285" s="155" t="str">
        <f t="shared" si="91"/>
        <v/>
      </c>
      <c r="C285" s="15" t="str">
        <f t="shared" ref="C285:C316" si="93">IF(OR(C284&gt;=$A$5,C284=""),"",C284+1)</f>
        <v/>
      </c>
      <c r="D285" s="123" t="str">
        <f t="shared" si="89"/>
        <v/>
      </c>
      <c r="E285" s="123" t="str">
        <f t="shared" si="86"/>
        <v/>
      </c>
      <c r="F285" s="123" t="str">
        <f t="shared" si="92"/>
        <v/>
      </c>
      <c r="G285" s="123" t="str">
        <f t="shared" si="84"/>
        <v/>
      </c>
      <c r="H285" s="15" t="e">
        <f t="shared" si="90"/>
        <v>#VALUE!</v>
      </c>
      <c r="I285" s="15" t="e">
        <f t="shared" si="87"/>
        <v>#DIV/0!</v>
      </c>
      <c r="J285" s="10">
        <f t="shared" si="88"/>
        <v>0</v>
      </c>
    </row>
    <row r="286" spans="1:10" x14ac:dyDescent="0.25">
      <c r="A286" s="61" t="e">
        <f t="shared" si="85"/>
        <v>#VALUE!</v>
      </c>
      <c r="B286" s="155" t="str">
        <f t="shared" si="91"/>
        <v/>
      </c>
      <c r="C286" s="15" t="str">
        <f t="shared" si="93"/>
        <v/>
      </c>
      <c r="D286" s="123" t="str">
        <f t="shared" si="89"/>
        <v/>
      </c>
      <c r="E286" s="123" t="str">
        <f t="shared" si="86"/>
        <v/>
      </c>
      <c r="F286" s="123" t="str">
        <f t="shared" si="92"/>
        <v/>
      </c>
      <c r="G286" s="123" t="str">
        <f t="shared" si="84"/>
        <v/>
      </c>
      <c r="H286" s="15" t="e">
        <f t="shared" si="90"/>
        <v>#VALUE!</v>
      </c>
      <c r="I286" s="15" t="e">
        <f t="shared" si="87"/>
        <v>#DIV/0!</v>
      </c>
      <c r="J286" s="10">
        <f t="shared" si="88"/>
        <v>0</v>
      </c>
    </row>
    <row r="287" spans="1:10" x14ac:dyDescent="0.25">
      <c r="A287" s="61" t="e">
        <f t="shared" si="85"/>
        <v>#VALUE!</v>
      </c>
      <c r="B287" s="155" t="str">
        <f t="shared" si="91"/>
        <v/>
      </c>
      <c r="C287" s="15" t="str">
        <f t="shared" si="93"/>
        <v/>
      </c>
      <c r="D287" s="123" t="str">
        <f t="shared" si="89"/>
        <v/>
      </c>
      <c r="E287" s="123" t="str">
        <f t="shared" si="86"/>
        <v/>
      </c>
      <c r="F287" s="123" t="str">
        <f t="shared" si="92"/>
        <v/>
      </c>
      <c r="G287" s="123" t="str">
        <f t="shared" si="84"/>
        <v/>
      </c>
      <c r="H287" s="15" t="e">
        <f t="shared" si="90"/>
        <v>#VALUE!</v>
      </c>
      <c r="I287" s="15" t="e">
        <f t="shared" si="87"/>
        <v>#DIV/0!</v>
      </c>
      <c r="J287" s="10">
        <f t="shared" si="88"/>
        <v>0</v>
      </c>
    </row>
    <row r="288" spans="1:10" x14ac:dyDescent="0.25">
      <c r="A288" s="61" t="e">
        <f t="shared" si="85"/>
        <v>#VALUE!</v>
      </c>
      <c r="B288" s="155" t="str">
        <f t="shared" si="91"/>
        <v/>
      </c>
      <c r="C288" s="15" t="str">
        <f t="shared" si="93"/>
        <v/>
      </c>
      <c r="D288" s="123" t="str">
        <f t="shared" si="89"/>
        <v/>
      </c>
      <c r="E288" s="123" t="str">
        <f t="shared" si="86"/>
        <v/>
      </c>
      <c r="F288" s="123" t="str">
        <f t="shared" si="92"/>
        <v/>
      </c>
      <c r="G288" s="123" t="str">
        <f t="shared" si="84"/>
        <v/>
      </c>
      <c r="H288" s="15" t="e">
        <f t="shared" si="90"/>
        <v>#VALUE!</v>
      </c>
      <c r="I288" s="15" t="e">
        <f t="shared" si="87"/>
        <v>#DIV/0!</v>
      </c>
      <c r="J288" s="10">
        <f t="shared" si="88"/>
        <v>0</v>
      </c>
    </row>
    <row r="289" spans="1:10" x14ac:dyDescent="0.25">
      <c r="A289" s="61" t="e">
        <f t="shared" si="85"/>
        <v>#VALUE!</v>
      </c>
      <c r="B289" s="155" t="str">
        <f t="shared" si="91"/>
        <v/>
      </c>
      <c r="C289" s="15" t="str">
        <f t="shared" si="93"/>
        <v/>
      </c>
      <c r="D289" s="123" t="str">
        <f t="shared" si="89"/>
        <v/>
      </c>
      <c r="E289" s="123" t="str">
        <f t="shared" si="86"/>
        <v/>
      </c>
      <c r="F289" s="123" t="str">
        <f t="shared" si="92"/>
        <v/>
      </c>
      <c r="G289" s="123" t="str">
        <f t="shared" si="84"/>
        <v/>
      </c>
      <c r="H289" s="15" t="e">
        <f t="shared" si="90"/>
        <v>#VALUE!</v>
      </c>
      <c r="I289" s="15" t="e">
        <f t="shared" si="87"/>
        <v>#DIV/0!</v>
      </c>
      <c r="J289" s="10">
        <f t="shared" si="88"/>
        <v>0</v>
      </c>
    </row>
    <row r="290" spans="1:10" x14ac:dyDescent="0.25">
      <c r="A290" s="61" t="e">
        <f t="shared" si="85"/>
        <v>#VALUE!</v>
      </c>
      <c r="B290" s="155" t="str">
        <f t="shared" si="91"/>
        <v/>
      </c>
      <c r="C290" s="15" t="str">
        <f t="shared" si="93"/>
        <v/>
      </c>
      <c r="D290" s="123" t="str">
        <f t="shared" si="89"/>
        <v/>
      </c>
      <c r="E290" s="123" t="str">
        <f t="shared" si="86"/>
        <v/>
      </c>
      <c r="F290" s="123" t="str">
        <f t="shared" si="92"/>
        <v/>
      </c>
      <c r="G290" s="123" t="str">
        <f t="shared" si="84"/>
        <v/>
      </c>
      <c r="H290" s="15" t="e">
        <f t="shared" si="90"/>
        <v>#VALUE!</v>
      </c>
      <c r="I290" s="15" t="e">
        <f t="shared" si="87"/>
        <v>#DIV/0!</v>
      </c>
      <c r="J290" s="10">
        <f t="shared" si="88"/>
        <v>0</v>
      </c>
    </row>
    <row r="291" spans="1:10" x14ac:dyDescent="0.25">
      <c r="A291" s="61" t="e">
        <f t="shared" si="85"/>
        <v>#VALUE!</v>
      </c>
      <c r="B291" s="155" t="str">
        <f t="shared" si="91"/>
        <v/>
      </c>
      <c r="C291" s="15" t="str">
        <f t="shared" si="93"/>
        <v/>
      </c>
      <c r="D291" s="123" t="str">
        <f t="shared" si="89"/>
        <v/>
      </c>
      <c r="E291" s="123" t="str">
        <f t="shared" si="86"/>
        <v/>
      </c>
      <c r="F291" s="123" t="str">
        <f t="shared" si="92"/>
        <v/>
      </c>
      <c r="G291" s="123" t="str">
        <f t="shared" si="84"/>
        <v/>
      </c>
      <c r="H291" s="15" t="e">
        <f t="shared" si="90"/>
        <v>#VALUE!</v>
      </c>
      <c r="I291" s="15" t="e">
        <f t="shared" si="87"/>
        <v>#DIV/0!</v>
      </c>
      <c r="J291" s="10">
        <f t="shared" si="88"/>
        <v>0</v>
      </c>
    </row>
    <row r="292" spans="1:10" x14ac:dyDescent="0.25">
      <c r="A292" s="61" t="e">
        <f t="shared" si="85"/>
        <v>#VALUE!</v>
      </c>
      <c r="B292" s="155" t="str">
        <f t="shared" si="91"/>
        <v/>
      </c>
      <c r="C292" s="15" t="str">
        <f t="shared" si="93"/>
        <v/>
      </c>
      <c r="D292" s="123" t="str">
        <f t="shared" si="89"/>
        <v/>
      </c>
      <c r="E292" s="123" t="str">
        <f t="shared" si="86"/>
        <v/>
      </c>
      <c r="F292" s="123" t="str">
        <f t="shared" si="92"/>
        <v/>
      </c>
      <c r="G292" s="123" t="str">
        <f t="shared" si="84"/>
        <v/>
      </c>
      <c r="H292" s="15" t="e">
        <f t="shared" si="90"/>
        <v>#VALUE!</v>
      </c>
      <c r="I292" s="15" t="e">
        <f t="shared" si="87"/>
        <v>#DIV/0!</v>
      </c>
      <c r="J292" s="10">
        <f t="shared" si="88"/>
        <v>0</v>
      </c>
    </row>
    <row r="293" spans="1:10" x14ac:dyDescent="0.25">
      <c r="A293" s="61" t="e">
        <f t="shared" si="85"/>
        <v>#VALUE!</v>
      </c>
      <c r="B293" s="155" t="str">
        <f t="shared" si="91"/>
        <v/>
      </c>
      <c r="C293" s="15" t="str">
        <f t="shared" si="93"/>
        <v/>
      </c>
      <c r="D293" s="123" t="str">
        <f t="shared" si="89"/>
        <v/>
      </c>
      <c r="E293" s="123" t="str">
        <f t="shared" si="86"/>
        <v/>
      </c>
      <c r="F293" s="123" t="str">
        <f t="shared" si="92"/>
        <v/>
      </c>
      <c r="G293" s="123" t="str">
        <f t="shared" si="84"/>
        <v/>
      </c>
      <c r="H293" s="15" t="e">
        <f t="shared" si="90"/>
        <v>#VALUE!</v>
      </c>
      <c r="I293" s="15" t="e">
        <f t="shared" si="87"/>
        <v>#DIV/0!</v>
      </c>
      <c r="J293" s="10">
        <f t="shared" si="88"/>
        <v>0</v>
      </c>
    </row>
    <row r="294" spans="1:10" x14ac:dyDescent="0.25">
      <c r="A294" s="61" t="e">
        <f t="shared" si="85"/>
        <v>#VALUE!</v>
      </c>
      <c r="B294" s="155" t="str">
        <f t="shared" si="91"/>
        <v/>
      </c>
      <c r="C294" s="15" t="str">
        <f t="shared" si="93"/>
        <v/>
      </c>
      <c r="D294" s="123" t="str">
        <f t="shared" si="89"/>
        <v/>
      </c>
      <c r="E294" s="123" t="str">
        <f t="shared" si="86"/>
        <v/>
      </c>
      <c r="F294" s="123" t="str">
        <f t="shared" si="92"/>
        <v/>
      </c>
      <c r="G294" s="123" t="str">
        <f t="shared" si="84"/>
        <v/>
      </c>
      <c r="H294" s="15" t="e">
        <f t="shared" si="90"/>
        <v>#VALUE!</v>
      </c>
      <c r="I294" s="15" t="e">
        <f t="shared" si="87"/>
        <v>#DIV/0!</v>
      </c>
      <c r="J294" s="10">
        <f t="shared" ref="J294:J309" si="94">IF(C294=H$7,I$17-IF(J$16=1,H294,0)-IF(A$10=2,J$20,0),0)</f>
        <v>0</v>
      </c>
    </row>
    <row r="295" spans="1:10" x14ac:dyDescent="0.25">
      <c r="A295" s="61" t="e">
        <f t="shared" si="85"/>
        <v>#VALUE!</v>
      </c>
      <c r="B295" s="155" t="str">
        <f t="shared" si="91"/>
        <v/>
      </c>
      <c r="C295" s="15" t="str">
        <f t="shared" si="93"/>
        <v/>
      </c>
      <c r="D295" s="123" t="str">
        <f t="shared" si="89"/>
        <v/>
      </c>
      <c r="E295" s="123" t="str">
        <f t="shared" si="86"/>
        <v/>
      </c>
      <c r="F295" s="123" t="str">
        <f t="shared" si="92"/>
        <v/>
      </c>
      <c r="G295" s="123" t="str">
        <f t="shared" si="84"/>
        <v/>
      </c>
      <c r="H295" s="15" t="e">
        <f t="shared" si="90"/>
        <v>#VALUE!</v>
      </c>
      <c r="I295" s="15" t="e">
        <f t="shared" si="87"/>
        <v>#DIV/0!</v>
      </c>
      <c r="J295" s="10">
        <f t="shared" si="94"/>
        <v>0</v>
      </c>
    </row>
    <row r="296" spans="1:10" x14ac:dyDescent="0.25">
      <c r="A296" s="61" t="e">
        <f t="shared" si="85"/>
        <v>#VALUE!</v>
      </c>
      <c r="B296" s="155" t="str">
        <f t="shared" ref="B296:B311" si="95">IF(OR($I$8=1,C296=""),"",IF(D$12=360,B295+1,IF(DAY(A296)&lt;DAY($A$1),A296-DAY(A296),A296)))</f>
        <v/>
      </c>
      <c r="C296" s="15" t="str">
        <f t="shared" si="93"/>
        <v/>
      </c>
      <c r="D296" s="123" t="str">
        <f t="shared" si="89"/>
        <v/>
      </c>
      <c r="E296" s="123" t="str">
        <f t="shared" si="86"/>
        <v/>
      </c>
      <c r="F296" s="123" t="str">
        <f t="shared" ref="F296:F311" si="96">IF(C296="","",IF(OR(D$16&gt;=C296,OR(C296=J$12,AND(C296&gt;=J$11,C296&lt;=J$12))),D296,IF(A$10=2,IF(I296&gt;0,H$17,H$16)+J296,D296+E296)))</f>
        <v/>
      </c>
      <c r="G296" s="123" t="str">
        <f t="shared" si="84"/>
        <v/>
      </c>
      <c r="H296" s="15" t="e">
        <f t="shared" si="90"/>
        <v>#VALUE!</v>
      </c>
      <c r="I296" s="15" t="e">
        <f t="shared" si="87"/>
        <v>#DIV/0!</v>
      </c>
      <c r="J296" s="10">
        <f t="shared" si="94"/>
        <v>0</v>
      </c>
    </row>
    <row r="297" spans="1:10" x14ac:dyDescent="0.25">
      <c r="A297" s="61" t="e">
        <f t="shared" si="85"/>
        <v>#VALUE!</v>
      </c>
      <c r="B297" s="155" t="str">
        <f t="shared" si="95"/>
        <v/>
      </c>
      <c r="C297" s="15" t="str">
        <f t="shared" si="93"/>
        <v/>
      </c>
      <c r="D297" s="123" t="str">
        <f t="shared" si="89"/>
        <v/>
      </c>
      <c r="E297" s="123" t="str">
        <f t="shared" si="86"/>
        <v/>
      </c>
      <c r="F297" s="123" t="str">
        <f t="shared" si="96"/>
        <v/>
      </c>
      <c r="G297" s="123" t="str">
        <f t="shared" si="84"/>
        <v/>
      </c>
      <c r="H297" s="15" t="e">
        <f t="shared" si="90"/>
        <v>#VALUE!</v>
      </c>
      <c r="I297" s="15" t="e">
        <f t="shared" si="87"/>
        <v>#DIV/0!</v>
      </c>
      <c r="J297" s="10">
        <f t="shared" si="94"/>
        <v>0</v>
      </c>
    </row>
    <row r="298" spans="1:10" x14ac:dyDescent="0.25">
      <c r="A298" s="61" t="e">
        <f t="shared" si="85"/>
        <v>#VALUE!</v>
      </c>
      <c r="B298" s="155" t="str">
        <f t="shared" si="95"/>
        <v/>
      </c>
      <c r="C298" s="15" t="str">
        <f t="shared" si="93"/>
        <v/>
      </c>
      <c r="D298" s="123" t="str">
        <f t="shared" si="89"/>
        <v/>
      </c>
      <c r="E298" s="123" t="str">
        <f t="shared" si="86"/>
        <v/>
      </c>
      <c r="F298" s="123" t="str">
        <f t="shared" si="96"/>
        <v/>
      </c>
      <c r="G298" s="123" t="str">
        <f t="shared" si="84"/>
        <v/>
      </c>
      <c r="H298" s="15" t="e">
        <f t="shared" si="90"/>
        <v>#VALUE!</v>
      </c>
      <c r="I298" s="15" t="e">
        <f t="shared" si="87"/>
        <v>#DIV/0!</v>
      </c>
      <c r="J298" s="10">
        <f t="shared" si="94"/>
        <v>0</v>
      </c>
    </row>
    <row r="299" spans="1:10" x14ac:dyDescent="0.25">
      <c r="A299" s="61" t="e">
        <f t="shared" si="85"/>
        <v>#VALUE!</v>
      </c>
      <c r="B299" s="155" t="str">
        <f t="shared" si="95"/>
        <v/>
      </c>
      <c r="C299" s="15" t="str">
        <f t="shared" si="93"/>
        <v/>
      </c>
      <c r="D299" s="123" t="str">
        <f t="shared" si="89"/>
        <v/>
      </c>
      <c r="E299" s="123" t="str">
        <f t="shared" si="86"/>
        <v/>
      </c>
      <c r="F299" s="123" t="str">
        <f t="shared" si="96"/>
        <v/>
      </c>
      <c r="G299" s="123" t="str">
        <f t="shared" si="84"/>
        <v/>
      </c>
      <c r="H299" s="15" t="e">
        <f t="shared" si="90"/>
        <v>#VALUE!</v>
      </c>
      <c r="I299" s="15" t="e">
        <f t="shared" si="87"/>
        <v>#DIV/0!</v>
      </c>
      <c r="J299" s="10">
        <f t="shared" si="94"/>
        <v>0</v>
      </c>
    </row>
    <row r="300" spans="1:10" x14ac:dyDescent="0.25">
      <c r="A300" s="61" t="e">
        <f t="shared" si="85"/>
        <v>#VALUE!</v>
      </c>
      <c r="B300" s="155" t="str">
        <f t="shared" si="95"/>
        <v/>
      </c>
      <c r="C300" s="15" t="str">
        <f t="shared" si="93"/>
        <v/>
      </c>
      <c r="D300" s="123" t="str">
        <f t="shared" si="89"/>
        <v/>
      </c>
      <c r="E300" s="123" t="str">
        <f t="shared" si="86"/>
        <v/>
      </c>
      <c r="F300" s="123" t="str">
        <f t="shared" si="96"/>
        <v/>
      </c>
      <c r="G300" s="123" t="str">
        <f t="shared" si="84"/>
        <v/>
      </c>
      <c r="H300" s="15" t="e">
        <f t="shared" si="90"/>
        <v>#VALUE!</v>
      </c>
      <c r="I300" s="15" t="e">
        <f t="shared" si="87"/>
        <v>#DIV/0!</v>
      </c>
      <c r="J300" s="10">
        <f t="shared" si="94"/>
        <v>0</v>
      </c>
    </row>
    <row r="301" spans="1:10" x14ac:dyDescent="0.25">
      <c r="A301" s="61" t="e">
        <f t="shared" si="85"/>
        <v>#VALUE!</v>
      </c>
      <c r="B301" s="155" t="str">
        <f t="shared" si="95"/>
        <v/>
      </c>
      <c r="C301" s="15" t="str">
        <f t="shared" si="93"/>
        <v/>
      </c>
      <c r="D301" s="123" t="str">
        <f t="shared" si="89"/>
        <v/>
      </c>
      <c r="E301" s="123" t="str">
        <f t="shared" si="86"/>
        <v/>
      </c>
      <c r="F301" s="123" t="str">
        <f t="shared" si="96"/>
        <v/>
      </c>
      <c r="G301" s="123" t="str">
        <f t="shared" si="84"/>
        <v/>
      </c>
      <c r="H301" s="15" t="e">
        <f t="shared" si="90"/>
        <v>#VALUE!</v>
      </c>
      <c r="I301" s="15" t="e">
        <f t="shared" si="87"/>
        <v>#DIV/0!</v>
      </c>
      <c r="J301" s="10">
        <f t="shared" si="94"/>
        <v>0</v>
      </c>
    </row>
    <row r="302" spans="1:10" x14ac:dyDescent="0.25">
      <c r="A302" s="61" t="e">
        <f t="shared" si="85"/>
        <v>#VALUE!</v>
      </c>
      <c r="B302" s="155" t="str">
        <f t="shared" si="95"/>
        <v/>
      </c>
      <c r="C302" s="15" t="str">
        <f t="shared" si="93"/>
        <v/>
      </c>
      <c r="D302" s="123" t="str">
        <f t="shared" si="89"/>
        <v/>
      </c>
      <c r="E302" s="123" t="str">
        <f t="shared" si="86"/>
        <v/>
      </c>
      <c r="F302" s="123" t="str">
        <f t="shared" si="96"/>
        <v/>
      </c>
      <c r="G302" s="123" t="str">
        <f t="shared" si="84"/>
        <v/>
      </c>
      <c r="H302" s="15" t="e">
        <f t="shared" si="90"/>
        <v>#VALUE!</v>
      </c>
      <c r="I302" s="15" t="e">
        <f t="shared" si="87"/>
        <v>#DIV/0!</v>
      </c>
      <c r="J302" s="10">
        <f t="shared" si="94"/>
        <v>0</v>
      </c>
    </row>
    <row r="303" spans="1:10" x14ac:dyDescent="0.25">
      <c r="A303" s="61" t="e">
        <f t="shared" si="85"/>
        <v>#VALUE!</v>
      </c>
      <c r="B303" s="155" t="str">
        <f t="shared" si="95"/>
        <v/>
      </c>
      <c r="C303" s="15" t="str">
        <f t="shared" si="93"/>
        <v/>
      </c>
      <c r="D303" s="123" t="str">
        <f t="shared" si="89"/>
        <v/>
      </c>
      <c r="E303" s="123" t="str">
        <f t="shared" si="86"/>
        <v/>
      </c>
      <c r="F303" s="123" t="str">
        <f t="shared" si="96"/>
        <v/>
      </c>
      <c r="G303" s="123" t="str">
        <f t="shared" si="84"/>
        <v/>
      </c>
      <c r="H303" s="15" t="e">
        <f t="shared" si="90"/>
        <v>#VALUE!</v>
      </c>
      <c r="I303" s="15" t="e">
        <f t="shared" si="87"/>
        <v>#DIV/0!</v>
      </c>
      <c r="J303" s="10">
        <f t="shared" si="94"/>
        <v>0</v>
      </c>
    </row>
    <row r="304" spans="1:10" x14ac:dyDescent="0.25">
      <c r="A304" s="61" t="e">
        <f t="shared" si="85"/>
        <v>#VALUE!</v>
      </c>
      <c r="B304" s="155" t="str">
        <f t="shared" si="95"/>
        <v/>
      </c>
      <c r="C304" s="15" t="str">
        <f t="shared" si="93"/>
        <v/>
      </c>
      <c r="D304" s="123" t="str">
        <f t="shared" si="89"/>
        <v/>
      </c>
      <c r="E304" s="123" t="str">
        <f t="shared" si="86"/>
        <v/>
      </c>
      <c r="F304" s="123" t="str">
        <f t="shared" si="96"/>
        <v/>
      </c>
      <c r="G304" s="123" t="str">
        <f t="shared" si="84"/>
        <v/>
      </c>
      <c r="H304" s="15" t="e">
        <f t="shared" si="90"/>
        <v>#VALUE!</v>
      </c>
      <c r="I304" s="15" t="e">
        <f t="shared" si="87"/>
        <v>#DIV/0!</v>
      </c>
      <c r="J304" s="10">
        <f t="shared" si="94"/>
        <v>0</v>
      </c>
    </row>
    <row r="305" spans="1:10" x14ac:dyDescent="0.25">
      <c r="A305" s="61" t="e">
        <f t="shared" si="85"/>
        <v>#VALUE!</v>
      </c>
      <c r="B305" s="155" t="str">
        <f t="shared" si="95"/>
        <v/>
      </c>
      <c r="C305" s="15" t="str">
        <f t="shared" si="93"/>
        <v/>
      </c>
      <c r="D305" s="123" t="str">
        <f t="shared" si="89"/>
        <v/>
      </c>
      <c r="E305" s="123" t="str">
        <f t="shared" si="86"/>
        <v/>
      </c>
      <c r="F305" s="123" t="str">
        <f t="shared" si="96"/>
        <v/>
      </c>
      <c r="G305" s="123" t="str">
        <f t="shared" ref="G305:G325" si="97">IF(C305="","",G304-E305)</f>
        <v/>
      </c>
      <c r="H305" s="15" t="e">
        <f t="shared" si="90"/>
        <v>#VALUE!</v>
      </c>
      <c r="I305" s="15" t="e">
        <f t="shared" si="87"/>
        <v>#DIV/0!</v>
      </c>
      <c r="J305" s="10">
        <f t="shared" si="94"/>
        <v>0</v>
      </c>
    </row>
    <row r="306" spans="1:10" x14ac:dyDescent="0.25">
      <c r="A306" s="61" t="e">
        <f t="shared" si="85"/>
        <v>#VALUE!</v>
      </c>
      <c r="B306" s="155" t="str">
        <f t="shared" si="95"/>
        <v/>
      </c>
      <c r="C306" s="15" t="str">
        <f t="shared" si="93"/>
        <v/>
      </c>
      <c r="D306" s="123" t="str">
        <f t="shared" si="89"/>
        <v/>
      </c>
      <c r="E306" s="123" t="str">
        <f t="shared" si="86"/>
        <v/>
      </c>
      <c r="F306" s="123" t="str">
        <f t="shared" si="96"/>
        <v/>
      </c>
      <c r="G306" s="123" t="str">
        <f t="shared" si="97"/>
        <v/>
      </c>
      <c r="H306" s="15" t="e">
        <f t="shared" si="90"/>
        <v>#VALUE!</v>
      </c>
      <c r="I306" s="15" t="e">
        <f t="shared" si="87"/>
        <v>#DIV/0!</v>
      </c>
      <c r="J306" s="10">
        <f t="shared" si="94"/>
        <v>0</v>
      </c>
    </row>
    <row r="307" spans="1:10" x14ac:dyDescent="0.25">
      <c r="A307" s="61" t="e">
        <f t="shared" si="85"/>
        <v>#VALUE!</v>
      </c>
      <c r="B307" s="155" t="str">
        <f t="shared" si="95"/>
        <v/>
      </c>
      <c r="C307" s="15" t="str">
        <f t="shared" si="93"/>
        <v/>
      </c>
      <c r="D307" s="123" t="str">
        <f t="shared" si="89"/>
        <v/>
      </c>
      <c r="E307" s="123" t="str">
        <f t="shared" si="86"/>
        <v/>
      </c>
      <c r="F307" s="123" t="str">
        <f t="shared" si="96"/>
        <v/>
      </c>
      <c r="G307" s="123" t="str">
        <f t="shared" si="97"/>
        <v/>
      </c>
      <c r="H307" s="15" t="e">
        <f t="shared" si="90"/>
        <v>#VALUE!</v>
      </c>
      <c r="I307" s="15" t="e">
        <f t="shared" si="87"/>
        <v>#DIV/0!</v>
      </c>
      <c r="J307" s="10">
        <f t="shared" si="94"/>
        <v>0</v>
      </c>
    </row>
    <row r="308" spans="1:10" x14ac:dyDescent="0.25">
      <c r="A308" s="61" t="e">
        <f t="shared" si="85"/>
        <v>#VALUE!</v>
      </c>
      <c r="B308" s="155" t="str">
        <f t="shared" si="95"/>
        <v/>
      </c>
      <c r="C308" s="15" t="str">
        <f t="shared" si="93"/>
        <v/>
      </c>
      <c r="D308" s="123" t="str">
        <f t="shared" si="89"/>
        <v/>
      </c>
      <c r="E308" s="123" t="str">
        <f t="shared" si="86"/>
        <v/>
      </c>
      <c r="F308" s="123" t="str">
        <f t="shared" si="96"/>
        <v/>
      </c>
      <c r="G308" s="123" t="str">
        <f t="shared" si="97"/>
        <v/>
      </c>
      <c r="H308" s="15" t="e">
        <f t="shared" si="90"/>
        <v>#VALUE!</v>
      </c>
      <c r="I308" s="15" t="e">
        <f t="shared" si="87"/>
        <v>#DIV/0!</v>
      </c>
      <c r="J308" s="10">
        <f t="shared" si="94"/>
        <v>0</v>
      </c>
    </row>
    <row r="309" spans="1:10" x14ac:dyDescent="0.25">
      <c r="A309" s="61" t="e">
        <f t="shared" si="85"/>
        <v>#VALUE!</v>
      </c>
      <c r="B309" s="155" t="str">
        <f t="shared" si="95"/>
        <v/>
      </c>
      <c r="C309" s="15" t="str">
        <f t="shared" si="93"/>
        <v/>
      </c>
      <c r="D309" s="123" t="str">
        <f t="shared" si="89"/>
        <v/>
      </c>
      <c r="E309" s="123" t="str">
        <f t="shared" si="86"/>
        <v/>
      </c>
      <c r="F309" s="123" t="str">
        <f t="shared" si="96"/>
        <v/>
      </c>
      <c r="G309" s="123" t="str">
        <f t="shared" si="97"/>
        <v/>
      </c>
      <c r="H309" s="15" t="e">
        <f t="shared" si="90"/>
        <v>#VALUE!</v>
      </c>
      <c r="I309" s="15" t="e">
        <f t="shared" si="87"/>
        <v>#DIV/0!</v>
      </c>
      <c r="J309" s="10">
        <f t="shared" si="94"/>
        <v>0</v>
      </c>
    </row>
    <row r="310" spans="1:10" x14ac:dyDescent="0.25">
      <c r="A310" s="61" t="e">
        <f t="shared" si="85"/>
        <v>#VALUE!</v>
      </c>
      <c r="B310" s="155" t="str">
        <f t="shared" si="95"/>
        <v/>
      </c>
      <c r="C310" s="15" t="str">
        <f t="shared" si="93"/>
        <v/>
      </c>
      <c r="D310" s="123" t="str">
        <f t="shared" si="89"/>
        <v/>
      </c>
      <c r="E310" s="123" t="str">
        <f t="shared" si="86"/>
        <v/>
      </c>
      <c r="F310" s="123" t="str">
        <f t="shared" si="96"/>
        <v/>
      </c>
      <c r="G310" s="123" t="str">
        <f t="shared" si="97"/>
        <v/>
      </c>
      <c r="H310" s="15" t="e">
        <f t="shared" si="90"/>
        <v>#VALUE!</v>
      </c>
      <c r="I310" s="15" t="e">
        <f t="shared" si="87"/>
        <v>#DIV/0!</v>
      </c>
      <c r="J310" s="10">
        <f t="shared" ref="J310:J325" si="98">IF(C310=H$7,I$17-IF(J$16=1,H310,0)-IF(A$10=2,J$20,0),0)</f>
        <v>0</v>
      </c>
    </row>
    <row r="311" spans="1:10" x14ac:dyDescent="0.25">
      <c r="A311" s="61" t="e">
        <f t="shared" si="85"/>
        <v>#VALUE!</v>
      </c>
      <c r="B311" s="155" t="str">
        <f t="shared" si="95"/>
        <v/>
      </c>
      <c r="C311" s="15" t="str">
        <f t="shared" si="93"/>
        <v/>
      </c>
      <c r="D311" s="123" t="str">
        <f t="shared" si="89"/>
        <v/>
      </c>
      <c r="E311" s="123" t="str">
        <f t="shared" si="86"/>
        <v/>
      </c>
      <c r="F311" s="123" t="str">
        <f t="shared" si="96"/>
        <v/>
      </c>
      <c r="G311" s="123" t="str">
        <f t="shared" si="97"/>
        <v/>
      </c>
      <c r="H311" s="15" t="e">
        <f t="shared" si="90"/>
        <v>#VALUE!</v>
      </c>
      <c r="I311" s="15" t="e">
        <f t="shared" si="87"/>
        <v>#DIV/0!</v>
      </c>
      <c r="J311" s="10">
        <f t="shared" si="98"/>
        <v>0</v>
      </c>
    </row>
    <row r="312" spans="1:10" x14ac:dyDescent="0.25">
      <c r="A312" s="61" t="e">
        <f t="shared" si="85"/>
        <v>#VALUE!</v>
      </c>
      <c r="B312" s="155" t="str">
        <f t="shared" ref="B312:B325" si="99">IF(OR($I$8=1,C312=""),"",IF(D$12=360,B311+1,IF(DAY(A312)&lt;DAY($A$1),A312-DAY(A312),A312)))</f>
        <v/>
      </c>
      <c r="C312" s="15" t="str">
        <f t="shared" si="93"/>
        <v/>
      </c>
      <c r="D312" s="123" t="str">
        <f t="shared" si="89"/>
        <v/>
      </c>
      <c r="E312" s="123" t="str">
        <f t="shared" si="86"/>
        <v/>
      </c>
      <c r="F312" s="123" t="str">
        <f t="shared" ref="F312:F325" si="100">IF(C312="","",IF(OR(D$16&gt;=C312,OR(C312=J$12,AND(C312&gt;=J$11,C312&lt;=J$12))),D312,IF(A$10=2,IF(I312&gt;0,H$17,H$16)+J312,D312+E312)))</f>
        <v/>
      </c>
      <c r="G312" s="123" t="str">
        <f t="shared" si="97"/>
        <v/>
      </c>
      <c r="H312" s="15" t="e">
        <f t="shared" si="90"/>
        <v>#VALUE!</v>
      </c>
      <c r="I312" s="15" t="e">
        <f t="shared" si="87"/>
        <v>#DIV/0!</v>
      </c>
      <c r="J312" s="10">
        <f t="shared" si="98"/>
        <v>0</v>
      </c>
    </row>
    <row r="313" spans="1:10" x14ac:dyDescent="0.25">
      <c r="A313" s="61" t="e">
        <f t="shared" si="85"/>
        <v>#VALUE!</v>
      </c>
      <c r="B313" s="155" t="str">
        <f t="shared" si="99"/>
        <v/>
      </c>
      <c r="C313" s="15" t="str">
        <f t="shared" si="93"/>
        <v/>
      </c>
      <c r="D313" s="123" t="str">
        <f t="shared" si="89"/>
        <v/>
      </c>
      <c r="E313" s="123" t="str">
        <f t="shared" si="86"/>
        <v/>
      </c>
      <c r="F313" s="123" t="str">
        <f t="shared" si="100"/>
        <v/>
      </c>
      <c r="G313" s="123" t="str">
        <f t="shared" si="97"/>
        <v/>
      </c>
      <c r="H313" s="15" t="e">
        <f t="shared" si="90"/>
        <v>#VALUE!</v>
      </c>
      <c r="I313" s="15" t="e">
        <f t="shared" si="87"/>
        <v>#DIV/0!</v>
      </c>
      <c r="J313" s="10">
        <f t="shared" si="98"/>
        <v>0</v>
      </c>
    </row>
    <row r="314" spans="1:10" x14ac:dyDescent="0.25">
      <c r="A314" s="61" t="e">
        <f t="shared" si="85"/>
        <v>#VALUE!</v>
      </c>
      <c r="B314" s="155" t="str">
        <f t="shared" si="99"/>
        <v/>
      </c>
      <c r="C314" s="15" t="str">
        <f t="shared" si="93"/>
        <v/>
      </c>
      <c r="D314" s="123" t="str">
        <f t="shared" si="89"/>
        <v/>
      </c>
      <c r="E314" s="123" t="str">
        <f t="shared" si="86"/>
        <v/>
      </c>
      <c r="F314" s="123" t="str">
        <f t="shared" si="100"/>
        <v/>
      </c>
      <c r="G314" s="123" t="str">
        <f t="shared" si="97"/>
        <v/>
      </c>
      <c r="H314" s="15" t="e">
        <f t="shared" si="90"/>
        <v>#VALUE!</v>
      </c>
      <c r="I314" s="15" t="e">
        <f t="shared" si="87"/>
        <v>#DIV/0!</v>
      </c>
      <c r="J314" s="10">
        <f t="shared" si="98"/>
        <v>0</v>
      </c>
    </row>
    <row r="315" spans="1:10" x14ac:dyDescent="0.25">
      <c r="A315" s="61" t="e">
        <f t="shared" si="85"/>
        <v>#VALUE!</v>
      </c>
      <c r="B315" s="155" t="str">
        <f t="shared" si="99"/>
        <v/>
      </c>
      <c r="C315" s="15" t="str">
        <f t="shared" si="93"/>
        <v/>
      </c>
      <c r="D315" s="123" t="str">
        <f t="shared" si="89"/>
        <v/>
      </c>
      <c r="E315" s="123" t="str">
        <f t="shared" si="86"/>
        <v/>
      </c>
      <c r="F315" s="123" t="str">
        <f t="shared" si="100"/>
        <v/>
      </c>
      <c r="G315" s="123" t="str">
        <f t="shared" si="97"/>
        <v/>
      </c>
      <c r="H315" s="15" t="e">
        <f t="shared" si="90"/>
        <v>#VALUE!</v>
      </c>
      <c r="I315" s="15" t="e">
        <f t="shared" si="87"/>
        <v>#DIV/0!</v>
      </c>
      <c r="J315" s="10">
        <f t="shared" si="98"/>
        <v>0</v>
      </c>
    </row>
    <row r="316" spans="1:10" x14ac:dyDescent="0.25">
      <c r="A316" s="61" t="e">
        <f t="shared" si="85"/>
        <v>#VALUE!</v>
      </c>
      <c r="B316" s="155" t="str">
        <f t="shared" si="99"/>
        <v/>
      </c>
      <c r="C316" s="15" t="str">
        <f t="shared" si="93"/>
        <v/>
      </c>
      <c r="D316" s="123" t="str">
        <f t="shared" si="89"/>
        <v/>
      </c>
      <c r="E316" s="123" t="str">
        <f t="shared" si="86"/>
        <v/>
      </c>
      <c r="F316" s="123" t="str">
        <f t="shared" si="100"/>
        <v/>
      </c>
      <c r="G316" s="123" t="str">
        <f t="shared" si="97"/>
        <v/>
      </c>
      <c r="H316" s="15" t="e">
        <f t="shared" si="90"/>
        <v>#VALUE!</v>
      </c>
      <c r="I316" s="15" t="e">
        <f t="shared" si="87"/>
        <v>#DIV/0!</v>
      </c>
      <c r="J316" s="10">
        <f t="shared" si="98"/>
        <v>0</v>
      </c>
    </row>
    <row r="317" spans="1:10" x14ac:dyDescent="0.25">
      <c r="A317" s="61" t="e">
        <f t="shared" si="85"/>
        <v>#VALUE!</v>
      </c>
      <c r="B317" s="155" t="str">
        <f t="shared" si="99"/>
        <v/>
      </c>
      <c r="C317" s="15" t="str">
        <f t="shared" ref="C317:C325" si="101">IF(OR(C316&gt;=$A$5,C316=""),"",C316+1)</f>
        <v/>
      </c>
      <c r="D317" s="123" t="str">
        <f t="shared" si="89"/>
        <v/>
      </c>
      <c r="E317" s="123" t="str">
        <f t="shared" si="86"/>
        <v/>
      </c>
      <c r="F317" s="123" t="str">
        <f t="shared" si="100"/>
        <v/>
      </c>
      <c r="G317" s="123" t="str">
        <f t="shared" si="97"/>
        <v/>
      </c>
      <c r="H317" s="15" t="e">
        <f t="shared" si="90"/>
        <v>#VALUE!</v>
      </c>
      <c r="I317" s="15" t="e">
        <f t="shared" si="87"/>
        <v>#DIV/0!</v>
      </c>
      <c r="J317" s="10">
        <f t="shared" si="98"/>
        <v>0</v>
      </c>
    </row>
    <row r="318" spans="1:10" x14ac:dyDescent="0.25">
      <c r="A318" s="61" t="e">
        <f t="shared" si="85"/>
        <v>#VALUE!</v>
      </c>
      <c r="B318" s="155" t="str">
        <f t="shared" si="99"/>
        <v/>
      </c>
      <c r="C318" s="15" t="str">
        <f t="shared" si="101"/>
        <v/>
      </c>
      <c r="D318" s="123" t="str">
        <f t="shared" si="89"/>
        <v/>
      </c>
      <c r="E318" s="123" t="str">
        <f t="shared" si="86"/>
        <v/>
      </c>
      <c r="F318" s="123" t="str">
        <f t="shared" si="100"/>
        <v/>
      </c>
      <c r="G318" s="123" t="str">
        <f t="shared" si="97"/>
        <v/>
      </c>
      <c r="H318" s="15" t="e">
        <f t="shared" si="90"/>
        <v>#VALUE!</v>
      </c>
      <c r="I318" s="15" t="e">
        <f t="shared" si="87"/>
        <v>#DIV/0!</v>
      </c>
      <c r="J318" s="10">
        <f t="shared" si="98"/>
        <v>0</v>
      </c>
    </row>
    <row r="319" spans="1:10" x14ac:dyDescent="0.25">
      <c r="A319" s="61" t="e">
        <f t="shared" si="85"/>
        <v>#VALUE!</v>
      </c>
      <c r="B319" s="155" t="str">
        <f t="shared" si="99"/>
        <v/>
      </c>
      <c r="C319" s="15" t="str">
        <f t="shared" si="101"/>
        <v/>
      </c>
      <c r="D319" s="123" t="str">
        <f t="shared" si="89"/>
        <v/>
      </c>
      <c r="E319" s="123" t="str">
        <f t="shared" si="86"/>
        <v/>
      </c>
      <c r="F319" s="123" t="str">
        <f t="shared" si="100"/>
        <v/>
      </c>
      <c r="G319" s="123" t="str">
        <f t="shared" si="97"/>
        <v/>
      </c>
      <c r="H319" s="15" t="e">
        <f t="shared" si="90"/>
        <v>#VALUE!</v>
      </c>
      <c r="I319" s="15" t="e">
        <f t="shared" si="87"/>
        <v>#DIV/0!</v>
      </c>
      <c r="J319" s="10">
        <f t="shared" si="98"/>
        <v>0</v>
      </c>
    </row>
    <row r="320" spans="1:10" x14ac:dyDescent="0.25">
      <c r="A320" s="61" t="e">
        <f t="shared" si="85"/>
        <v>#VALUE!</v>
      </c>
      <c r="B320" s="155" t="str">
        <f t="shared" si="99"/>
        <v/>
      </c>
      <c r="C320" s="15" t="str">
        <f t="shared" si="101"/>
        <v/>
      </c>
      <c r="D320" s="123" t="str">
        <f t="shared" si="89"/>
        <v/>
      </c>
      <c r="E320" s="123" t="str">
        <f t="shared" si="86"/>
        <v/>
      </c>
      <c r="F320" s="123" t="str">
        <f t="shared" si="100"/>
        <v/>
      </c>
      <c r="G320" s="123" t="str">
        <f t="shared" si="97"/>
        <v/>
      </c>
      <c r="H320" s="15" t="e">
        <f t="shared" si="90"/>
        <v>#VALUE!</v>
      </c>
      <c r="I320" s="15" t="e">
        <f t="shared" si="87"/>
        <v>#DIV/0!</v>
      </c>
      <c r="J320" s="10">
        <f t="shared" si="98"/>
        <v>0</v>
      </c>
    </row>
    <row r="321" spans="1:10" x14ac:dyDescent="0.25">
      <c r="A321" s="61" t="e">
        <f t="shared" si="85"/>
        <v>#VALUE!</v>
      </c>
      <c r="B321" s="155" t="str">
        <f t="shared" si="99"/>
        <v/>
      </c>
      <c r="C321" s="15" t="str">
        <f t="shared" si="101"/>
        <v/>
      </c>
      <c r="D321" s="123" t="str">
        <f t="shared" si="89"/>
        <v/>
      </c>
      <c r="E321" s="123" t="str">
        <f t="shared" si="86"/>
        <v/>
      </c>
      <c r="F321" s="123" t="str">
        <f t="shared" si="100"/>
        <v/>
      </c>
      <c r="G321" s="123" t="str">
        <f t="shared" si="97"/>
        <v/>
      </c>
      <c r="H321" s="15" t="e">
        <f t="shared" si="90"/>
        <v>#VALUE!</v>
      </c>
      <c r="I321" s="15" t="e">
        <f t="shared" si="87"/>
        <v>#DIV/0!</v>
      </c>
      <c r="J321" s="10">
        <f t="shared" si="98"/>
        <v>0</v>
      </c>
    </row>
    <row r="322" spans="1:10" x14ac:dyDescent="0.25">
      <c r="A322" s="61" t="e">
        <f t="shared" si="85"/>
        <v>#VALUE!</v>
      </c>
      <c r="B322" s="155" t="str">
        <f t="shared" si="99"/>
        <v/>
      </c>
      <c r="C322" s="15" t="str">
        <f t="shared" si="101"/>
        <v/>
      </c>
      <c r="D322" s="123" t="str">
        <f t="shared" si="89"/>
        <v/>
      </c>
      <c r="E322" s="123" t="str">
        <f t="shared" si="86"/>
        <v/>
      </c>
      <c r="F322" s="123" t="str">
        <f t="shared" si="100"/>
        <v/>
      </c>
      <c r="G322" s="123" t="str">
        <f t="shared" si="97"/>
        <v/>
      </c>
      <c r="H322" s="15" t="e">
        <f t="shared" si="90"/>
        <v>#VALUE!</v>
      </c>
      <c r="I322" s="15" t="e">
        <f t="shared" si="87"/>
        <v>#DIV/0!</v>
      </c>
      <c r="J322" s="10">
        <f t="shared" si="98"/>
        <v>0</v>
      </c>
    </row>
    <row r="323" spans="1:10" x14ac:dyDescent="0.25">
      <c r="A323" s="61" t="e">
        <f t="shared" si="85"/>
        <v>#VALUE!</v>
      </c>
      <c r="B323" s="155" t="str">
        <f t="shared" si="99"/>
        <v/>
      </c>
      <c r="C323" s="15" t="str">
        <f t="shared" si="101"/>
        <v/>
      </c>
      <c r="D323" s="123" t="str">
        <f t="shared" si="89"/>
        <v/>
      </c>
      <c r="E323" s="123" t="str">
        <f t="shared" si="86"/>
        <v/>
      </c>
      <c r="F323" s="123" t="str">
        <f t="shared" si="100"/>
        <v/>
      </c>
      <c r="G323" s="123" t="str">
        <f t="shared" si="97"/>
        <v/>
      </c>
      <c r="H323" s="15" t="e">
        <f t="shared" si="90"/>
        <v>#VALUE!</v>
      </c>
      <c r="I323" s="15" t="e">
        <f t="shared" si="87"/>
        <v>#DIV/0!</v>
      </c>
      <c r="J323" s="10">
        <f t="shared" si="98"/>
        <v>0</v>
      </c>
    </row>
    <row r="324" spans="1:10" x14ac:dyDescent="0.25">
      <c r="A324" s="61" t="e">
        <f t="shared" si="85"/>
        <v>#VALUE!</v>
      </c>
      <c r="B324" s="155" t="str">
        <f t="shared" si="99"/>
        <v/>
      </c>
      <c r="C324" s="15" t="str">
        <f t="shared" si="101"/>
        <v/>
      </c>
      <c r="D324" s="123" t="str">
        <f t="shared" si="89"/>
        <v/>
      </c>
      <c r="E324" s="123" t="str">
        <f t="shared" si="86"/>
        <v/>
      </c>
      <c r="F324" s="123" t="str">
        <f t="shared" si="100"/>
        <v/>
      </c>
      <c r="G324" s="123" t="str">
        <f t="shared" si="97"/>
        <v/>
      </c>
      <c r="H324" s="15" t="e">
        <f t="shared" si="90"/>
        <v>#VALUE!</v>
      </c>
      <c r="I324" s="15" t="e">
        <f t="shared" si="87"/>
        <v>#DIV/0!</v>
      </c>
      <c r="J324" s="10">
        <f t="shared" si="98"/>
        <v>0</v>
      </c>
    </row>
    <row r="325" spans="1:10" x14ac:dyDescent="0.25">
      <c r="A325" s="61" t="e">
        <f t="shared" si="85"/>
        <v>#VALUE!</v>
      </c>
      <c r="B325" s="155" t="str">
        <f t="shared" si="99"/>
        <v/>
      </c>
      <c r="C325" s="15" t="str">
        <f t="shared" si="101"/>
        <v/>
      </c>
      <c r="D325" s="123" t="str">
        <f t="shared" si="89"/>
        <v/>
      </c>
      <c r="E325" s="123" t="str">
        <f t="shared" si="86"/>
        <v/>
      </c>
      <c r="F325" s="123" t="str">
        <f t="shared" si="100"/>
        <v/>
      </c>
      <c r="G325" s="123" t="str">
        <f t="shared" si="97"/>
        <v/>
      </c>
      <c r="H325" s="15" t="e">
        <f t="shared" si="90"/>
        <v>#VALUE!</v>
      </c>
      <c r="I325" s="15" t="e">
        <f t="shared" si="87"/>
        <v>#DIV/0!</v>
      </c>
      <c r="J325" s="10">
        <f t="shared" si="98"/>
        <v>0</v>
      </c>
    </row>
    <row r="326" spans="1:10" x14ac:dyDescent="0.25">
      <c r="B326" s="155" t="s">
        <v>58</v>
      </c>
      <c r="D326" s="124"/>
      <c r="E326" s="124"/>
      <c r="F326" s="124"/>
      <c r="G326" s="124"/>
      <c r="H326" s="15"/>
      <c r="I326" s="5"/>
    </row>
    <row r="327" spans="1:10" x14ac:dyDescent="0.25">
      <c r="B327" s="155" t="s">
        <v>58</v>
      </c>
      <c r="D327" s="124"/>
      <c r="E327" s="124"/>
      <c r="F327" s="124"/>
      <c r="G327" s="124"/>
      <c r="H327" s="15"/>
    </row>
    <row r="328" spans="1:10" x14ac:dyDescent="0.25">
      <c r="B328" s="155" t="s">
        <v>58</v>
      </c>
      <c r="D328" s="124"/>
      <c r="E328" s="124"/>
      <c r="F328" s="124"/>
      <c r="G328" s="124"/>
      <c r="H328" s="15"/>
    </row>
    <row r="329" spans="1:10" x14ac:dyDescent="0.25">
      <c r="B329" s="155" t="s">
        <v>58</v>
      </c>
      <c r="D329" s="124"/>
      <c r="E329" s="124"/>
      <c r="F329" s="124"/>
      <c r="G329" s="124"/>
      <c r="H329" s="15"/>
    </row>
    <row r="330" spans="1:10" x14ac:dyDescent="0.25">
      <c r="B330" s="155" t="s">
        <v>58</v>
      </c>
      <c r="D330" s="124"/>
      <c r="E330" s="124"/>
      <c r="F330" s="124"/>
      <c r="G330" s="124"/>
      <c r="H330" s="15"/>
    </row>
    <row r="331" spans="1:10" x14ac:dyDescent="0.25">
      <c r="B331" s="155" t="s">
        <v>58</v>
      </c>
      <c r="D331" s="124"/>
      <c r="E331" s="124"/>
      <c r="F331" s="124"/>
      <c r="G331" s="124"/>
      <c r="H331" s="15"/>
    </row>
    <row r="332" spans="1:10" x14ac:dyDescent="0.25">
      <c r="B332" s="155" t="s">
        <v>58</v>
      </c>
      <c r="D332" s="124"/>
      <c r="E332" s="124"/>
      <c r="F332" s="124"/>
      <c r="G332" s="124"/>
      <c r="H332" s="15"/>
    </row>
    <row r="333" spans="1:10" x14ac:dyDescent="0.25">
      <c r="B333" s="155" t="s">
        <v>58</v>
      </c>
      <c r="D333" s="124"/>
      <c r="E333" s="124"/>
      <c r="F333" s="124"/>
      <c r="G333" s="124"/>
      <c r="H333" s="15"/>
    </row>
    <row r="334" spans="1:10" x14ac:dyDescent="0.25">
      <c r="B334" s="155" t="s">
        <v>58</v>
      </c>
      <c r="D334" s="124"/>
      <c r="E334" s="124"/>
      <c r="F334" s="124"/>
      <c r="G334" s="124"/>
      <c r="H334" s="15"/>
    </row>
    <row r="335" spans="1:10" x14ac:dyDescent="0.25">
      <c r="B335" s="155" t="s">
        <v>58</v>
      </c>
      <c r="D335" s="124"/>
      <c r="E335" s="124"/>
      <c r="F335" s="124"/>
      <c r="G335" s="124"/>
      <c r="H335" s="15"/>
    </row>
    <row r="336" spans="1:10" x14ac:dyDescent="0.25">
      <c r="B336" s="155" t="s">
        <v>58</v>
      </c>
      <c r="D336" s="124"/>
      <c r="E336" s="124"/>
      <c r="F336" s="124"/>
      <c r="G336" s="124"/>
      <c r="H336" s="15"/>
    </row>
    <row r="337" spans="2:8" x14ac:dyDescent="0.25">
      <c r="B337" s="155" t="s">
        <v>58</v>
      </c>
      <c r="D337" s="124"/>
      <c r="E337" s="124"/>
      <c r="F337" s="124"/>
      <c r="G337" s="124"/>
      <c r="H337" s="15"/>
    </row>
    <row r="338" spans="2:8" x14ac:dyDescent="0.25">
      <c r="B338" s="155" t="s">
        <v>58</v>
      </c>
      <c r="D338" s="124"/>
      <c r="E338" s="124"/>
      <c r="F338" s="124"/>
      <c r="G338" s="124"/>
      <c r="H338" s="15"/>
    </row>
    <row r="339" spans="2:8" x14ac:dyDescent="0.25">
      <c r="B339" s="155" t="s">
        <v>58</v>
      </c>
      <c r="D339" s="124"/>
      <c r="E339" s="124"/>
      <c r="F339" s="124"/>
      <c r="G339" s="124"/>
      <c r="H339" s="15"/>
    </row>
    <row r="340" spans="2:8" x14ac:dyDescent="0.25">
      <c r="B340" s="155" t="s">
        <v>58</v>
      </c>
      <c r="D340" s="124"/>
      <c r="E340" s="124"/>
      <c r="F340" s="124"/>
      <c r="G340" s="124"/>
      <c r="H340" s="15"/>
    </row>
    <row r="341" spans="2:8" x14ac:dyDescent="0.25">
      <c r="B341" s="155" t="s">
        <v>58</v>
      </c>
      <c r="D341" s="124"/>
      <c r="E341" s="124"/>
      <c r="F341" s="124"/>
      <c r="G341" s="124"/>
      <c r="H341" s="15"/>
    </row>
    <row r="342" spans="2:8" x14ac:dyDescent="0.25">
      <c r="B342" s="155" t="s">
        <v>58</v>
      </c>
      <c r="D342" s="124"/>
      <c r="E342" s="124"/>
      <c r="F342" s="124"/>
      <c r="G342" s="124"/>
    </row>
    <row r="343" spans="2:8" x14ac:dyDescent="0.25">
      <c r="B343" s="155" t="s">
        <v>58</v>
      </c>
      <c r="D343" s="124"/>
      <c r="E343" s="124"/>
      <c r="F343" s="124"/>
      <c r="G343" s="124"/>
    </row>
    <row r="344" spans="2:8" x14ac:dyDescent="0.25">
      <c r="B344" s="155" t="s">
        <v>58</v>
      </c>
      <c r="D344" s="124"/>
      <c r="E344" s="124"/>
      <c r="F344" s="124"/>
      <c r="G344" s="124"/>
    </row>
    <row r="345" spans="2:8" x14ac:dyDescent="0.25">
      <c r="B345" s="155" t="s">
        <v>58</v>
      </c>
      <c r="D345" s="124"/>
      <c r="E345" s="124"/>
      <c r="F345" s="124"/>
      <c r="G345" s="124"/>
    </row>
    <row r="346" spans="2:8" x14ac:dyDescent="0.25">
      <c r="B346" s="155" t="s">
        <v>58</v>
      </c>
      <c r="D346" s="124"/>
      <c r="E346" s="124"/>
      <c r="F346" s="124"/>
      <c r="G346" s="124"/>
    </row>
    <row r="347" spans="2:8" x14ac:dyDescent="0.25">
      <c r="B347" s="155" t="s">
        <v>58</v>
      </c>
      <c r="D347" s="124"/>
      <c r="E347" s="124"/>
      <c r="F347" s="124"/>
      <c r="G347" s="124"/>
    </row>
    <row r="348" spans="2:8" x14ac:dyDescent="0.25">
      <c r="B348" s="155"/>
      <c r="D348" s="124"/>
      <c r="E348" s="124"/>
      <c r="F348" s="124"/>
      <c r="G348" s="124"/>
    </row>
    <row r="349" spans="2:8" x14ac:dyDescent="0.25">
      <c r="B349" s="155"/>
      <c r="D349" s="124"/>
      <c r="E349" s="124"/>
      <c r="F349" s="124"/>
      <c r="G349" s="124"/>
    </row>
    <row r="350" spans="2:8" x14ac:dyDescent="0.25">
      <c r="B350" s="155"/>
      <c r="D350" s="124"/>
      <c r="E350" s="124"/>
      <c r="F350" s="124"/>
      <c r="G350" s="124"/>
    </row>
    <row r="351" spans="2:8" x14ac:dyDescent="0.25">
      <c r="B351" s="155"/>
      <c r="D351" s="124"/>
      <c r="E351" s="124"/>
      <c r="F351" s="124"/>
      <c r="G351" s="124"/>
    </row>
    <row r="352" spans="2:8" x14ac:dyDescent="0.25">
      <c r="B352" s="155"/>
      <c r="D352" s="124"/>
      <c r="E352" s="124"/>
      <c r="F352" s="124"/>
      <c r="G352" s="124"/>
    </row>
    <row r="353" spans="2:7" x14ac:dyDescent="0.25">
      <c r="B353" s="155"/>
      <c r="D353" s="124"/>
      <c r="E353" s="124"/>
      <c r="F353" s="124"/>
      <c r="G353" s="124"/>
    </row>
    <row r="354" spans="2:7" x14ac:dyDescent="0.25">
      <c r="B354" s="155"/>
      <c r="D354" s="124"/>
      <c r="E354" s="124"/>
      <c r="F354" s="124"/>
      <c r="G354" s="124"/>
    </row>
    <row r="355" spans="2:7" x14ac:dyDescent="0.25">
      <c r="B355" s="155"/>
      <c r="D355" s="124"/>
      <c r="E355" s="124"/>
      <c r="F355" s="124"/>
      <c r="G355" s="124"/>
    </row>
    <row r="356" spans="2:7" x14ac:dyDescent="0.25">
      <c r="B356" s="155"/>
      <c r="D356" s="124"/>
      <c r="E356" s="124"/>
      <c r="F356" s="124"/>
      <c r="G356" s="124"/>
    </row>
    <row r="357" spans="2:7" x14ac:dyDescent="0.25">
      <c r="B357" s="155"/>
      <c r="D357" s="124"/>
      <c r="E357" s="124"/>
      <c r="F357" s="124"/>
      <c r="G357" s="124"/>
    </row>
    <row r="358" spans="2:7" x14ac:dyDescent="0.25">
      <c r="B358" s="155"/>
      <c r="D358" s="124"/>
      <c r="E358" s="124"/>
      <c r="F358" s="124"/>
      <c r="G358" s="124"/>
    </row>
    <row r="359" spans="2:7" x14ac:dyDescent="0.25">
      <c r="B359" s="155"/>
      <c r="D359" s="124"/>
      <c r="E359" s="124"/>
      <c r="F359" s="124"/>
      <c r="G359" s="124"/>
    </row>
    <row r="360" spans="2:7" x14ac:dyDescent="0.25">
      <c r="B360" s="155"/>
      <c r="D360" s="124"/>
      <c r="E360" s="124"/>
      <c r="F360" s="124"/>
      <c r="G360" s="124"/>
    </row>
    <row r="361" spans="2:7" x14ac:dyDescent="0.25">
      <c r="B361" s="155"/>
      <c r="D361" s="124"/>
      <c r="E361" s="124"/>
      <c r="F361" s="124"/>
      <c r="G361" s="124"/>
    </row>
    <row r="362" spans="2:7" x14ac:dyDescent="0.25">
      <c r="B362" s="155"/>
      <c r="D362" s="124"/>
      <c r="E362" s="124"/>
      <c r="F362" s="124"/>
      <c r="G362" s="124"/>
    </row>
    <row r="363" spans="2:7" x14ac:dyDescent="0.25">
      <c r="B363" s="155"/>
      <c r="D363" s="124"/>
      <c r="E363" s="124"/>
      <c r="F363" s="124"/>
      <c r="G363" s="124"/>
    </row>
    <row r="364" spans="2:7" x14ac:dyDescent="0.25">
      <c r="B364" s="155"/>
      <c r="D364" s="124"/>
      <c r="E364" s="124"/>
      <c r="F364" s="124"/>
      <c r="G364" s="124"/>
    </row>
    <row r="365" spans="2:7" x14ac:dyDescent="0.25">
      <c r="B365" s="155"/>
      <c r="D365" s="124"/>
      <c r="E365" s="124"/>
      <c r="F365" s="124"/>
      <c r="G365" s="124"/>
    </row>
    <row r="366" spans="2:7" x14ac:dyDescent="0.25">
      <c r="B366" s="155"/>
      <c r="D366" s="124"/>
      <c r="E366" s="124"/>
      <c r="F366" s="124"/>
      <c r="G366" s="124"/>
    </row>
    <row r="367" spans="2:7" x14ac:dyDescent="0.25">
      <c r="B367" s="155"/>
      <c r="D367" s="124"/>
      <c r="E367" s="124"/>
      <c r="F367" s="124"/>
      <c r="G367" s="124"/>
    </row>
    <row r="368" spans="2:7" x14ac:dyDescent="0.25">
      <c r="B368" s="155"/>
      <c r="D368" s="124"/>
      <c r="E368" s="124"/>
      <c r="F368" s="124"/>
      <c r="G368" s="124"/>
    </row>
    <row r="369" spans="2:7" x14ac:dyDescent="0.25">
      <c r="B369" s="155"/>
      <c r="D369" s="124"/>
      <c r="E369" s="124"/>
      <c r="F369" s="124"/>
      <c r="G369" s="124"/>
    </row>
    <row r="370" spans="2:7" x14ac:dyDescent="0.25">
      <c r="B370" s="155"/>
      <c r="D370" s="124"/>
      <c r="E370" s="124"/>
      <c r="F370" s="124"/>
      <c r="G370" s="124"/>
    </row>
    <row r="371" spans="2:7" x14ac:dyDescent="0.25">
      <c r="B371" s="155"/>
    </row>
    <row r="372" spans="2:7" x14ac:dyDescent="0.25">
      <c r="B372" s="155"/>
    </row>
    <row r="373" spans="2:7" x14ac:dyDescent="0.25">
      <c r="B373" s="155"/>
    </row>
    <row r="374" spans="2:7" x14ac:dyDescent="0.25">
      <c r="B374" s="155"/>
    </row>
    <row r="375" spans="2:7" x14ac:dyDescent="0.25">
      <c r="B375" s="155"/>
    </row>
    <row r="376" spans="2:7" x14ac:dyDescent="0.25">
      <c r="B376" s="155"/>
    </row>
    <row r="377" spans="2:7" x14ac:dyDescent="0.25">
      <c r="B377" s="155"/>
    </row>
    <row r="378" spans="2:7" x14ac:dyDescent="0.25">
      <c r="B378" s="155"/>
    </row>
    <row r="379" spans="2:7" x14ac:dyDescent="0.25">
      <c r="B379" s="155"/>
    </row>
    <row r="380" spans="2:7" x14ac:dyDescent="0.25">
      <c r="B380" s="155"/>
    </row>
    <row r="381" spans="2:7" x14ac:dyDescent="0.25">
      <c r="B381" s="155"/>
    </row>
    <row r="382" spans="2:7" x14ac:dyDescent="0.25">
      <c r="B382" s="155"/>
    </row>
    <row r="383" spans="2:7" x14ac:dyDescent="0.25">
      <c r="B383" s="155"/>
    </row>
    <row r="384" spans="2:7" x14ac:dyDescent="0.25">
      <c r="B384" s="155"/>
    </row>
    <row r="385" spans="2:2" x14ac:dyDescent="0.25">
      <c r="B385" s="155"/>
    </row>
    <row r="386" spans="2:2" x14ac:dyDescent="0.25">
      <c r="B386" s="155"/>
    </row>
    <row r="387" spans="2:2" x14ac:dyDescent="0.25">
      <c r="B387" s="155"/>
    </row>
    <row r="388" spans="2:2" x14ac:dyDescent="0.25">
      <c r="B388" s="155"/>
    </row>
    <row r="389" spans="2:2" x14ac:dyDescent="0.25">
      <c r="B389" s="155"/>
    </row>
    <row r="390" spans="2:2" x14ac:dyDescent="0.25">
      <c r="B390" s="155"/>
    </row>
    <row r="391" spans="2:2" x14ac:dyDescent="0.25">
      <c r="B391" s="155"/>
    </row>
  </sheetData>
  <sheetCalcPr fullCalcOnLoad="1"/>
  <phoneticPr fontId="0" type="noConversion"/>
  <dataValidations count="1">
    <dataValidation type="custom" allowBlank="1" showInputMessage="1" showErrorMessage="1" error="nur ganze Perioden" sqref="D14">
      <formula1>MOD(A5,1)=0</formula1>
    </dataValidation>
  </dataValidations>
  <pageMargins left="1.1399999999999999" right="0.31496062992125984" top="0.23622047244094491" bottom="0.44" header="0.23622047244094491" footer="0.25"/>
  <pageSetup paperSize="9" fitToHeight="6" orientation="portrait" blackAndWhite="1" horizontalDpi="300" verticalDpi="300" r:id="rId1"/>
  <headerFooter alignWithMargins="0">
    <oddFooter>&amp;L&amp;8&amp;D&amp;C&amp;8Seite &amp;P &amp;R&amp;8WFTILG.XLS;&amp;A  Version: 03.05.2000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showGridLines="0" showZeros="0" showOutlineSymbols="0" zoomScale="120" workbookViewId="0">
      <selection activeCell="C24" sqref="C24"/>
    </sheetView>
  </sheetViews>
  <sheetFormatPr baseColWidth="10" defaultColWidth="2.69921875" defaultRowHeight="13.8" outlineLevelCol="1" x14ac:dyDescent="0.25"/>
  <cols>
    <col min="1" max="1" width="10.69921875" style="109" customWidth="1"/>
    <col min="2" max="2" width="4.69921875" style="67" customWidth="1"/>
    <col min="3" max="6" width="14.59765625" style="106" customWidth="1"/>
    <col min="7" max="7" width="12.19921875" style="67" hidden="1" customWidth="1" outlineLevel="1"/>
    <col min="8" max="8" width="11" style="67" customWidth="1" collapsed="1"/>
    <col min="9" max="238" width="11" style="67" customWidth="1"/>
    <col min="239" max="239" width="14.59765625" style="67" customWidth="1"/>
    <col min="240" max="240" width="11" style="67" customWidth="1"/>
    <col min="241" max="241" width="20.59765625" style="67" customWidth="1"/>
    <col min="242" max="242" width="2.3984375" style="67" customWidth="1"/>
    <col min="243" max="16384" width="2.69921875" style="67"/>
  </cols>
  <sheetData>
    <row r="1" spans="1:17" x14ac:dyDescent="0.25">
      <c r="A1"/>
      <c r="B1" s="64"/>
      <c r="C1" s="65"/>
      <c r="D1" s="65"/>
      <c r="E1" s="65"/>
      <c r="F1" s="65"/>
      <c r="G1" s="66">
        <f>Tilgungsplan!K4</f>
        <v>3401927.8758092071</v>
      </c>
      <c r="K1" s="68"/>
      <c r="Q1" s="68"/>
    </row>
    <row r="2" spans="1:17" ht="17.399999999999999" x14ac:dyDescent="0.3">
      <c r="A2" s="69" t="str">
        <f>Tilgungsplan!B2</f>
        <v>Tilgungsplan für ein Annuitätendarlehen</v>
      </c>
      <c r="B2" s="70"/>
      <c r="C2" s="70"/>
      <c r="D2" s="70"/>
      <c r="E2" s="70"/>
      <c r="F2" s="70"/>
      <c r="G2" s="66">
        <f>Tilgungsplan!K5</f>
        <v>4400000.0000000224</v>
      </c>
    </row>
    <row r="3" spans="1:17" x14ac:dyDescent="0.25">
      <c r="A3" s="71" t="str">
        <f>Tilgungsplan!B3</f>
        <v/>
      </c>
      <c r="B3" s="70"/>
      <c r="C3" s="70"/>
      <c r="D3" s="70"/>
      <c r="E3" s="70"/>
      <c r="F3" s="70"/>
      <c r="G3" s="66">
        <f>Tilgungsplan!A8</f>
        <v>20</v>
      </c>
    </row>
    <row r="4" spans="1:17" x14ac:dyDescent="0.25">
      <c r="A4" s="72">
        <f>Tilgungsplan!B4</f>
        <v>0</v>
      </c>
      <c r="B4" s="73"/>
      <c r="C4" s="74"/>
      <c r="D4" s="74"/>
      <c r="E4" s="74"/>
      <c r="F4" s="74"/>
      <c r="G4">
        <f>ROUND(G3*C12,2)</f>
        <v>80</v>
      </c>
    </row>
    <row r="5" spans="1:17" x14ac:dyDescent="0.25">
      <c r="A5" s="72">
        <f>Tilgungsplan!B5</f>
        <v>0</v>
      </c>
      <c r="B5" s="73"/>
      <c r="C5" s="74"/>
      <c r="D5" s="74"/>
      <c r="E5" s="76"/>
      <c r="F5" s="74"/>
      <c r="G5" s="75">
        <f>ROUNDUP(G3+(C12-G6)/C12,0)</f>
        <v>20</v>
      </c>
    </row>
    <row r="6" spans="1:17" x14ac:dyDescent="0.25">
      <c r="A6" s="72">
        <f>Tilgungsplan!B6</f>
        <v>0</v>
      </c>
      <c r="B6" s="73"/>
      <c r="C6" s="74"/>
      <c r="D6" s="74"/>
      <c r="E6" s="74"/>
      <c r="F6" s="74"/>
      <c r="G6" s="77">
        <f>IF(G7=0,C12,IF(G9=1,G11,G10))</f>
        <v>4</v>
      </c>
    </row>
    <row r="7" spans="1:17" x14ac:dyDescent="0.25">
      <c r="A7" s="72">
        <f>Tilgungsplan!B7</f>
        <v>0</v>
      </c>
      <c r="B7" s="73"/>
      <c r="C7" s="79"/>
      <c r="D7" s="74"/>
      <c r="E7" s="74"/>
      <c r="F7" s="74"/>
      <c r="G7" s="78">
        <f>IF(AND(A18&gt;0,A18&lt;13,G8&gt;0),1,0)</f>
        <v>0</v>
      </c>
    </row>
    <row r="8" spans="1:17" s="84" customFormat="1" x14ac:dyDescent="0.25">
      <c r="A8" s="81"/>
      <c r="B8" s="82"/>
      <c r="C8" s="70"/>
      <c r="D8" s="70"/>
      <c r="E8" s="70"/>
      <c r="F8" s="80"/>
      <c r="G8" s="80">
        <f>IF(AND(A18&gt;0,OR(ISERROR(G13),C15=0)),0,C15)</f>
        <v>42005</v>
      </c>
    </row>
    <row r="9" spans="1:17" x14ac:dyDescent="0.25">
      <c r="A9" s="85"/>
      <c r="B9" s="82"/>
      <c r="C9" s="86">
        <f>Tilgungsplan!D9</f>
        <v>5000000</v>
      </c>
      <c r="D9" s="70" t="str">
        <f>Tilgungsplan!E9</f>
        <v xml:space="preserve">  Darlehensbetrag</v>
      </c>
      <c r="E9" s="70"/>
      <c r="F9" s="70"/>
      <c r="G9" s="83">
        <f>Tilgungsplan!A2</f>
        <v>0</v>
      </c>
    </row>
    <row r="10" spans="1:17" x14ac:dyDescent="0.25">
      <c r="A10" s="88"/>
      <c r="B10" s="82"/>
      <c r="C10" s="89">
        <f>Tilgungsplan!D10</f>
        <v>12</v>
      </c>
      <c r="D10" s="70" t="str">
        <f>Tilgungsplan!E10</f>
        <v xml:space="preserve">  % Restwert = 600.000,00</v>
      </c>
      <c r="E10" s="70"/>
      <c r="F10" s="70"/>
      <c r="G10" s="87" t="e">
        <f>IF(ROUNDDOWN(G12,0)&gt;0,ROUNDDOWN(G12,0),C12)</f>
        <v>#VALUE!</v>
      </c>
    </row>
    <row r="11" spans="1:17" x14ac:dyDescent="0.25">
      <c r="A11" s="90"/>
      <c r="B11" s="66"/>
      <c r="C11" s="66">
        <f>Tilgungsplan!D11</f>
        <v>5.25</v>
      </c>
      <c r="D11" s="70" t="str">
        <f>Tilgungsplan!E11</f>
        <v xml:space="preserve">  % Zins p.a. </v>
      </c>
      <c r="E11" s="70"/>
      <c r="F11" s="91"/>
      <c r="G11" s="87" t="e">
        <f>IF(ROUNDUP(G12,0)&gt;0,ROUNDUP(G12,0),C12)</f>
        <v>#VALUE!</v>
      </c>
    </row>
    <row r="12" spans="1:17" x14ac:dyDescent="0.25">
      <c r="A12" s="90"/>
      <c r="B12" s="66"/>
      <c r="C12" s="92">
        <f>Tilgungsplan!D12</f>
        <v>4</v>
      </c>
      <c r="D12" s="70" t="str">
        <f>Tilgungsplan!E12</f>
        <v xml:space="preserve">  vierteljährliche Verrechnung</v>
      </c>
      <c r="E12" s="70"/>
      <c r="F12" s="70"/>
      <c r="G12" s="83" t="e">
        <f>C12*G13/360</f>
        <v>#VALUE!</v>
      </c>
    </row>
    <row r="13" spans="1:17" x14ac:dyDescent="0.25">
      <c r="A13" s="90"/>
      <c r="B13" s="94"/>
      <c r="C13" s="86"/>
      <c r="D13" s="70" t="str">
        <f>Tilgungsplan!E13</f>
        <v xml:space="preserve">  nachschüssig</v>
      </c>
      <c r="E13" s="70"/>
      <c r="F13" s="70"/>
      <c r="G13" s="93" t="e">
        <f>360*(YEAR(G14)-YEAR(C15))+30*(MONTH(G14)-MONTH(C15))+IF(DAY(G14)&gt;DAY(G14+1),30,DAY(G14))-IF(DAY(C15)&gt;DAY(C15+1),30,DAY(C15))+IF(AND(DAY(C15)=1,Tilgungsplan!C15=1),1,0)+IF(C10="Fricke","MJM tage360",0)</f>
        <v>#VALUE!</v>
      </c>
    </row>
    <row r="14" spans="1:17" x14ac:dyDescent="0.25">
      <c r="A14" s="90"/>
      <c r="B14" s="82"/>
      <c r="C14" s="66">
        <f>Tilgungsplan!D14</f>
        <v>20</v>
      </c>
      <c r="D14" s="70" t="str">
        <f>Tilgungsplan!E14</f>
        <v xml:space="preserve">  Jahre Laufzeit  (80 Quartale)</v>
      </c>
      <c r="E14" s="82"/>
      <c r="F14" s="70"/>
      <c r="G14" s="80" t="e">
        <f>IF(VALUE(G15&amp;YEAR(C15))&lt;C15,VALUE(G15&amp;YEAR(C15)+1),VALUE(G15&amp;YEAR(C15)))</f>
        <v>#VALUE!</v>
      </c>
    </row>
    <row r="15" spans="1:17" x14ac:dyDescent="0.25">
      <c r="A15" s="90"/>
      <c r="B15" s="66"/>
      <c r="C15" s="80">
        <f>Tilgungsplan!D15</f>
        <v>42005</v>
      </c>
      <c r="D15" s="70" t="str">
        <f>Tilgungsplan!E15</f>
        <v xml:space="preserve">  Darlehensbeginn   </v>
      </c>
      <c r="E15" s="96"/>
      <c r="F15" s="82"/>
      <c r="G15" s="95" t="str">
        <f>IF(OR(A18=4,A18=6,A18=9,A18=11),30,IF(A18=2,28,31))&amp;"."&amp;TEXT(A18,"00")&amp;"."</f>
        <v>31.00.</v>
      </c>
    </row>
    <row r="16" spans="1:17" x14ac:dyDescent="0.25">
      <c r="A16" s="90"/>
      <c r="B16" s="82"/>
      <c r="C16" s="66">
        <f>Tilgungsplan!D16</f>
        <v>2</v>
      </c>
      <c r="D16" s="70" t="str">
        <f>Tilgungsplan!E16</f>
        <v xml:space="preserve">  Quartale tilgungsfrei</v>
      </c>
      <c r="E16" s="70"/>
      <c r="F16" s="96"/>
      <c r="G16"/>
    </row>
    <row r="17" spans="1:7" x14ac:dyDescent="0.25">
      <c r="A17" s="90"/>
      <c r="B17" s="66"/>
      <c r="C17" s="66">
        <f>Tilgungsplan!D17</f>
        <v>0</v>
      </c>
      <c r="D17" s="70" t="str">
        <f>IF(Tilgungsplan!E17=2,"",Tilgungsplan!E17)</f>
        <v/>
      </c>
      <c r="E17" s="70"/>
      <c r="F17" s="70"/>
      <c r="G17"/>
    </row>
    <row r="18" spans="1:7" s="99" customFormat="1" x14ac:dyDescent="0.25">
      <c r="A18" s="97"/>
      <c r="B18" s="98"/>
      <c r="C18" s="98"/>
      <c r="D18" s="98"/>
      <c r="E18" s="98"/>
      <c r="F18" s="98"/>
    </row>
    <row r="19" spans="1:7" s="99" customFormat="1" x14ac:dyDescent="0.25">
      <c r="A19" s="100" t="str">
        <f>IF(G8=0,"",IF(AND(G7=1,A18&gt;0),IF(Tilgungsplan!B1="e","call date","Stichtag "),IF(Tilgungsplan!B1="e","after date","ab Datum")))</f>
        <v>ab Datum</v>
      </c>
      <c r="B19" s="98" t="str">
        <f>IF(Tilgungsplan!B1="e","year","Jahr")</f>
        <v>Jahr</v>
      </c>
      <c r="C19" s="98" t="str">
        <f>IF(Tilgungsplan!B1="e","interests","Zinsen")</f>
        <v>Zinsen</v>
      </c>
      <c r="D19" s="98" t="str">
        <f>IF(Tilgungsplan!B1="e","repayments","Tilgungen")</f>
        <v>Tilgungen</v>
      </c>
      <c r="E19" s="98" t="str">
        <f>IF(Tilgungsplan!B1="e","annuities","Annuitäten")</f>
        <v>Annuitäten</v>
      </c>
      <c r="F19" s="98" t="str">
        <f>Tilgungsplan!G19</f>
        <v xml:space="preserve">Restdarlehen </v>
      </c>
      <c r="G19" s="101"/>
    </row>
    <row r="20" spans="1:7" s="102" customFormat="1" x14ac:dyDescent="0.25">
      <c r="A20" s="71" t="str">
        <f>IF(G7=0,"",G15)</f>
        <v/>
      </c>
      <c r="B20" s="121">
        <f>Tilgungsplan!C20</f>
        <v>0</v>
      </c>
      <c r="C20" s="71"/>
      <c r="D20" s="71"/>
      <c r="E20" s="59" t="str">
        <f>Tilgungsplan!F20</f>
        <v/>
      </c>
      <c r="F20" s="71"/>
      <c r="G20"/>
    </row>
    <row r="21" spans="1:7" x14ac:dyDescent="0.25">
      <c r="A21" s="103"/>
      <c r="B21" s="92"/>
      <c r="C21" s="70"/>
      <c r="D21" s="70"/>
      <c r="E21" s="70"/>
      <c r="F21" s="86">
        <f>Tilgungsplan!G21</f>
        <v>5000000</v>
      </c>
      <c r="G21"/>
    </row>
    <row r="22" spans="1:7" x14ac:dyDescent="0.25">
      <c r="A22" s="104" t="str">
        <f>IF(G8=0,"",IF(G7=1,IF(A18=12,YEAR(Tilgungsplan!B22),YEAR(DATE(YEAR(G8),MONTH(G8)+G6*12/C12,DAY(G8)))),TEXT(G8,"TT.MM.JJJ")))</f>
        <v>01.01.2015</v>
      </c>
      <c r="B22" s="70">
        <v>1</v>
      </c>
      <c r="C22" s="105">
        <f ca="1">SUM(OFFSET(Tilgungsplan!D22,0,0):OFFSET(Tilgungsplan!D22,B21*C12+G6-1,0))</f>
        <v>262070.58905935899</v>
      </c>
      <c r="D22" s="105">
        <f ca="1">SUM(OFFSET(Tilgungsplan!E22,0,0):OFFSET(Tilgungsplan!E22,B21*C12+G6-1,0))</f>
        <v>65863.4590383131</v>
      </c>
      <c r="E22" s="105">
        <f ca="1">C22+D22</f>
        <v>327934.04809767206</v>
      </c>
      <c r="F22" s="106">
        <f t="shared" ref="F22:F53" ca="1" si="0">IF(B22="","",ROUND(F21-D22,3))</f>
        <v>4934136.5410000002</v>
      </c>
      <c r="G22" s="83"/>
    </row>
    <row r="23" spans="1:7" x14ac:dyDescent="0.25">
      <c r="A23" s="104" t="str">
        <f t="shared" ref="A23:A53" si="1">IF(OR(B23="",G$8=0),"",IF(G$7=1,A22+1,TEXT(DATE(YEAR(A22)+1,MONTH(A22),DAY(A22)),"TT.MM.JJJ")))</f>
        <v>01.01.2016</v>
      </c>
      <c r="B23" s="70">
        <f t="shared" ref="B23:B53" si="2">IF(OR(B22="",B22=G$5),"",B22+1)</f>
        <v>2</v>
      </c>
      <c r="C23" s="105">
        <f ca="1">IF(B21=G$5,G$1,IF(B23="","",SUM(OFFSET(Tilgungsplan!D$22,B21*C$12+G$6,0):OFFSET(Tilgungsplan!D$22,IF(B24="",G$4-1,B22*$C$12+G$6-1),0))))</f>
        <v>256374.41102984999</v>
      </c>
      <c r="D23" s="105">
        <f ca="1">IF($B21=$G$5,$G$2,IF($B23="","",SUM(OFFSET(Tilgungsplan!E$22,$B21*$C$12+$G$6,0):OFFSET(Tilgungsplan!E$22,IF($B24="",$G$4-1,$B22*$C$12+$G$6-1),0))))</f>
        <v>136993.68516549381</v>
      </c>
      <c r="E23" s="105">
        <f t="shared" ref="E23:E53" ca="1" si="3">IF(C23="","",C23+D23)</f>
        <v>393368.09619534377</v>
      </c>
      <c r="F23" s="106">
        <f t="shared" ca="1" si="0"/>
        <v>4797142.8559999997</v>
      </c>
      <c r="G23" s="83"/>
    </row>
    <row r="24" spans="1:7" x14ac:dyDescent="0.25">
      <c r="A24" s="104" t="str">
        <f t="shared" si="1"/>
        <v>01.01.2017</v>
      </c>
      <c r="B24" s="70">
        <f t="shared" si="2"/>
        <v>3</v>
      </c>
      <c r="C24" s="105">
        <f ca="1">IF(B22=G$5,G$1,IF(B24="","",SUM(OFFSET(Tilgungsplan!D$22,B22*C$12+G$6,0):OFFSET(Tilgungsplan!D$22,IF(B25="",G$4-1,B23*$C$12+G$6-1),0))))</f>
        <v>249039.40371314</v>
      </c>
      <c r="D24" s="105">
        <f ca="1">IF($B22=$G$5,$G$2,IF($B24="","",SUM(OFFSET(Tilgungsplan!E$22,$B22*$C$12+$G$6,0):OFFSET(Tilgungsplan!E$22,IF($B25="",$G$4-1,$B23*$C$12+$G$6-1),0))))</f>
        <v>144328.69248220423</v>
      </c>
      <c r="E24" s="105">
        <f t="shared" ca="1" si="3"/>
        <v>393368.09619534423</v>
      </c>
      <c r="F24" s="106">
        <f t="shared" ca="1" si="0"/>
        <v>4652814.1639999999</v>
      </c>
      <c r="G24" s="83"/>
    </row>
    <row r="25" spans="1:7" x14ac:dyDescent="0.25">
      <c r="A25" s="104" t="str">
        <f t="shared" si="1"/>
        <v>01.01.2018</v>
      </c>
      <c r="B25" s="70">
        <f t="shared" si="2"/>
        <v>4</v>
      </c>
      <c r="C25" s="105">
        <f ca="1">IF(B23=G$5,G$1,IF(B25="","",SUM(OFFSET(Tilgungsplan!D$22,B23*C$12+G$6,0):OFFSET(Tilgungsplan!D$22,IF(B26="",G$4-1,B24*$C$12+G$6-1),0))))</f>
        <v>241311.66053950801</v>
      </c>
      <c r="D25" s="105">
        <f ca="1">IF($B23=$G$5,$G$2,IF($B25="","",SUM(OFFSET(Tilgungsplan!E$22,$B23*$C$12+$G$6,0):OFFSET(Tilgungsplan!E$22,IF($B26="",$G$4-1,$B24*$C$12+$G$6-1),0))))</f>
        <v>152056.43565583538</v>
      </c>
      <c r="E25" s="105">
        <f t="shared" ca="1" si="3"/>
        <v>393368.09619534342</v>
      </c>
      <c r="F25" s="106">
        <f t="shared" ca="1" si="0"/>
        <v>4500757.7280000001</v>
      </c>
      <c r="G25" s="83"/>
    </row>
    <row r="26" spans="1:7" x14ac:dyDescent="0.25">
      <c r="A26" s="104" t="str">
        <f t="shared" si="1"/>
        <v>01.01.2019</v>
      </c>
      <c r="B26" s="70">
        <f t="shared" si="2"/>
        <v>5</v>
      </c>
      <c r="C26" s="105">
        <f ca="1">IF(B24=G$5,G$1,IF(B26="","",SUM(OFFSET(Tilgungsplan!D$22,B24*C$12+G$6,0):OFFSET(Tilgungsplan!D$22,IF(B27="",G$4-1,B25*$C$12+G$6-1),0))))</f>
        <v>233170.15338360501</v>
      </c>
      <c r="D26" s="105">
        <f ca="1">IF($B24=$G$5,$G$2,IF($B26="","",SUM(OFFSET(Tilgungsplan!E$22,$B24*$C$12+$G$6,0):OFFSET(Tilgungsplan!E$22,IF($B27="",$G$4-1,$B25*$C$12+$G$6-1),0))))</f>
        <v>160197.9428117389</v>
      </c>
      <c r="E26" s="105">
        <f t="shared" ca="1" si="3"/>
        <v>393368.09619534388</v>
      </c>
      <c r="F26" s="106">
        <f t="shared" ca="1" si="0"/>
        <v>4340559.7850000001</v>
      </c>
      <c r="G26" s="83"/>
    </row>
    <row r="27" spans="1:7" ht="15.6" x14ac:dyDescent="0.3">
      <c r="A27" s="104" t="str">
        <f t="shared" si="1"/>
        <v>01.01.2020</v>
      </c>
      <c r="B27" s="107">
        <f t="shared" si="2"/>
        <v>6</v>
      </c>
      <c r="C27" s="105">
        <f ca="1">IF(B25=G$5,G$1,IF(B27="","",SUM(OFFSET(Tilgungsplan!D$22,B25*C$12+G$6,0):OFFSET(Tilgungsplan!D$22,IF(B28="",G$4-1,B26*$C$12+G$6-1),0))))</f>
        <v>224592.72821815801</v>
      </c>
      <c r="D27" s="105">
        <f ca="1">IF($B25=$G$5,$G$2,IF($B27="","",SUM(OFFSET(Tilgungsplan!E$22,$B25*$C$12+$G$6,0):OFFSET(Tilgungsplan!E$22,IF($B28="",$G$4-1,$B26*$C$12+$G$6-1),0))))</f>
        <v>168775.36797718762</v>
      </c>
      <c r="E27" s="105">
        <f t="shared" ca="1" si="3"/>
        <v>393368.09619534563</v>
      </c>
      <c r="F27" s="106">
        <f t="shared" ca="1" si="0"/>
        <v>4171784.4169999999</v>
      </c>
      <c r="G27" s="83"/>
    </row>
    <row r="28" spans="1:7" x14ac:dyDescent="0.25">
      <c r="A28" s="104" t="str">
        <f t="shared" si="1"/>
        <v>01.01.2021</v>
      </c>
      <c r="B28" s="70">
        <f t="shared" si="2"/>
        <v>7</v>
      </c>
      <c r="C28" s="105">
        <f ca="1">IF(B26=G$5,G$1,IF(B28="","",SUM(OFFSET(Tilgungsplan!D$22,B26*C$12+G$6,0):OFFSET(Tilgungsplan!D$22,IF(B29="",G$4-1,B27*$C$12+G$6-1),0))))</f>
        <v>215556.04483017803</v>
      </c>
      <c r="D28" s="105">
        <f ca="1">IF($B26=$G$5,$G$2,IF($B28="","",SUM(OFFSET(Tilgungsplan!E$22,$B26*$C$12+$G$6,0):OFFSET(Tilgungsplan!E$22,IF($B29="",$G$4-1,$B27*$C$12+$G$6-1),0))))</f>
        <v>177812.05136516754</v>
      </c>
      <c r="E28" s="105">
        <f t="shared" ca="1" si="3"/>
        <v>393368.09619534557</v>
      </c>
      <c r="F28" s="106">
        <f t="shared" ca="1" si="0"/>
        <v>3993972.3659999999</v>
      </c>
      <c r="G28" s="83"/>
    </row>
    <row r="29" spans="1:7" x14ac:dyDescent="0.25">
      <c r="A29" s="104" t="str">
        <f t="shared" si="1"/>
        <v>01.01.2022</v>
      </c>
      <c r="B29" s="70">
        <f t="shared" si="2"/>
        <v>8</v>
      </c>
      <c r="C29" s="105">
        <f ca="1">IF(B27=G$5,G$1,IF(B29="","",SUM(OFFSET(Tilgungsplan!D$22,B27*C$12+G$6,0):OFFSET(Tilgungsplan!D$22,IF(B30="",G$4-1,B28*$C$12+G$6-1),0))))</f>
        <v>206035.51330942</v>
      </c>
      <c r="D29" s="105">
        <f ca="1">IF($B27=$G$5,$G$2,IF($B29="","",SUM(OFFSET(Tilgungsplan!E$22,$B27*$C$12+$G$6,0):OFFSET(Tilgungsplan!E$22,IF($B30="",$G$4-1,$B28*$C$12+$G$6-1),0))))</f>
        <v>187332.5828859249</v>
      </c>
      <c r="E29" s="105">
        <f t="shared" ca="1" si="3"/>
        <v>393368.09619534493</v>
      </c>
      <c r="F29" s="106">
        <f t="shared" ca="1" si="0"/>
        <v>3806639.7829999998</v>
      </c>
      <c r="G29" s="83"/>
    </row>
    <row r="30" spans="1:7" x14ac:dyDescent="0.25">
      <c r="A30" s="104" t="str">
        <f t="shared" si="1"/>
        <v>01.01.2023</v>
      </c>
      <c r="B30" s="70">
        <f t="shared" si="2"/>
        <v>9</v>
      </c>
      <c r="C30" s="105">
        <f ca="1">IF(B28=G$5,G$1,IF(B30="","",SUM(OFFSET(Tilgungsplan!D$22,B28*C$12+G$6,0):OFFSET(Tilgungsplan!D$22,IF(B31="",G$4-1,B29*$C$12+G$6-1),0))))</f>
        <v>196005.22713625402</v>
      </c>
      <c r="D30" s="105">
        <f ca="1">IF($B28=$G$5,$G$2,IF($B30="","",SUM(OFFSET(Tilgungsplan!E$22,$B28*$C$12+$G$6,0):OFFSET(Tilgungsplan!E$22,IF($B31="",$G$4-1,$B29*$C$12+$G$6-1),0))))</f>
        <v>197362.86905909103</v>
      </c>
      <c r="E30" s="105">
        <f t="shared" ca="1" si="3"/>
        <v>393368.09619534505</v>
      </c>
      <c r="F30" s="106">
        <f t="shared" ca="1" si="0"/>
        <v>3609276.9139999999</v>
      </c>
      <c r="G30" s="83"/>
    </row>
    <row r="31" spans="1:7" x14ac:dyDescent="0.25">
      <c r="A31" s="104" t="str">
        <f t="shared" si="1"/>
        <v>01.01.2024</v>
      </c>
      <c r="B31" s="70">
        <f t="shared" si="2"/>
        <v>10</v>
      </c>
      <c r="C31" s="105">
        <f ca="1">IF(B29=G$5,G$1,IF(B31="","",SUM(OFFSET(Tilgungsplan!D$22,B29*C$12+G$6,0):OFFSET(Tilgungsplan!D$22,IF(B32="",G$4-1,B30*$C$12+G$6-1),0))))</f>
        <v>185437.892686885</v>
      </c>
      <c r="D31" s="105">
        <f ca="1">IF($B29=$G$5,$G$2,IF($B31="","",SUM(OFFSET(Tilgungsplan!E$22,$B29*$C$12+$G$6,0):OFFSET(Tilgungsplan!E$22,IF($B32="",$G$4-1,$B30*$C$12+$G$6-1),0))))</f>
        <v>207930.20350846049</v>
      </c>
      <c r="E31" s="105">
        <f t="shared" ca="1" si="3"/>
        <v>393368.09619534551</v>
      </c>
      <c r="F31" s="106">
        <f t="shared" ca="1" si="0"/>
        <v>3401346.71</v>
      </c>
      <c r="G31" s="83"/>
    </row>
    <row r="32" spans="1:7" x14ac:dyDescent="0.25">
      <c r="A32" s="104" t="str">
        <f t="shared" si="1"/>
        <v>01.01.2025</v>
      </c>
      <c r="B32" s="70">
        <f t="shared" si="2"/>
        <v>11</v>
      </c>
      <c r="C32" s="105">
        <f ca="1">IF(B30=G$5,G$1,IF(B32="","",SUM(OFFSET(Tilgungsplan!D$22,B30*C$12+G$6,0):OFFSET(Tilgungsplan!D$22,IF(B33="",G$4-1,B31*$C$12+G$6-1),0))))</f>
        <v>174304.754964097</v>
      </c>
      <c r="D32" s="105">
        <f ca="1">IF($B30=$G$5,$G$2,IF($B32="","",SUM(OFFSET(Tilgungsplan!E$22,$B30*$C$12+$G$6,0):OFFSET(Tilgungsplan!E$22,IF($B33="",$G$4-1,$B31*$C$12+$G$6-1),0))))</f>
        <v>219063.34123124811</v>
      </c>
      <c r="E32" s="105">
        <f t="shared" ca="1" si="3"/>
        <v>393368.0961953451</v>
      </c>
      <c r="F32" s="106">
        <f t="shared" ca="1" si="0"/>
        <v>3182283.3689999999</v>
      </c>
      <c r="G32" s="83"/>
    </row>
    <row r="33" spans="1:7" x14ac:dyDescent="0.25">
      <c r="A33" s="104" t="str">
        <f t="shared" si="1"/>
        <v>01.01.2026</v>
      </c>
      <c r="B33" s="70">
        <f t="shared" si="2"/>
        <v>12</v>
      </c>
      <c r="C33" s="105">
        <f ca="1">IF(B31=G$5,G$1,IF(B33="","",SUM(OFFSET(Tilgungsplan!D$22,B31*C$12+G$6,0):OFFSET(Tilgungsplan!D$22,IF(B34="",G$4-1,B32*$C$12+G$6-1),0))))</f>
        <v>162575.51935142599</v>
      </c>
      <c r="D33" s="105">
        <f ca="1">IF($B31=$G$5,$G$2,IF($B33="","",SUM(OFFSET(Tilgungsplan!E$22,$B31*$C$12+$G$6,0):OFFSET(Tilgungsplan!E$22,IF($B34="",$G$4-1,$B32*$C$12+$G$6-1),0))))</f>
        <v>230792.57684391979</v>
      </c>
      <c r="E33" s="105">
        <f t="shared" ca="1" si="3"/>
        <v>393368.09619534574</v>
      </c>
      <c r="F33" s="106">
        <f t="shared" ca="1" si="0"/>
        <v>2951490.7919999999</v>
      </c>
      <c r="G33" s="83"/>
    </row>
    <row r="34" spans="1:7" x14ac:dyDescent="0.25">
      <c r="A34" s="104" t="str">
        <f t="shared" si="1"/>
        <v>01.01.2027</v>
      </c>
      <c r="B34" s="70">
        <f t="shared" si="2"/>
        <v>13</v>
      </c>
      <c r="C34" s="105">
        <f ca="1">IF(B32=G$5,G$1,IF(B34="","",SUM(OFFSET(Tilgungsplan!D$22,B32*C$12+G$6,0):OFFSET(Tilgungsplan!D$22,IF(B35="",G$4-1,B33*$C$12+G$6-1),0))))</f>
        <v>150218.26917783098</v>
      </c>
      <c r="D34" s="105">
        <f ca="1">IF($B32=$G$5,$G$2,IF($B34="","",SUM(OFFSET(Tilgungsplan!E$22,$B32*$C$12+$G$6,0):OFFSET(Tilgungsplan!E$22,IF($B35="",$G$4-1,$B33*$C$12+$G$6-1),0))))</f>
        <v>243149.82701751398</v>
      </c>
      <c r="E34" s="105">
        <f t="shared" ca="1" si="3"/>
        <v>393368.09619534493</v>
      </c>
      <c r="F34" s="106">
        <f t="shared" ca="1" si="0"/>
        <v>2708340.9649999999</v>
      </c>
      <c r="G34" s="83"/>
    </row>
    <row r="35" spans="1:7" x14ac:dyDescent="0.25">
      <c r="A35" s="104" t="str">
        <f t="shared" si="1"/>
        <v>01.01.2028</v>
      </c>
      <c r="B35" s="70">
        <f t="shared" si="2"/>
        <v>14</v>
      </c>
      <c r="C35" s="105">
        <f ca="1">IF(B33=G$5,G$1,IF(B35="","",SUM(OFFSET(Tilgungsplan!D$22,B33*C$12+G$6,0):OFFSET(Tilgungsplan!D$22,IF(B36="",G$4-1,B34*$C$12+G$6-1),0))))</f>
        <v>137199.37886857602</v>
      </c>
      <c r="D35" s="105">
        <f ca="1">IF($B33=$G$5,$G$2,IF($B35="","",SUM(OFFSET(Tilgungsplan!E$22,$B33*$C$12+$G$6,0):OFFSET(Tilgungsplan!E$22,IF($B36="",$G$4-1,$B34*$C$12+$G$6-1),0))))</f>
        <v>256168.71732677019</v>
      </c>
      <c r="E35" s="105">
        <f t="shared" ca="1" si="3"/>
        <v>393368.09619534621</v>
      </c>
      <c r="F35" s="106">
        <f t="shared" ca="1" si="0"/>
        <v>2452172.2480000001</v>
      </c>
      <c r="G35" s="83"/>
    </row>
    <row r="36" spans="1:7" x14ac:dyDescent="0.25">
      <c r="A36" s="104" t="str">
        <f t="shared" si="1"/>
        <v>01.01.2029</v>
      </c>
      <c r="B36" s="70">
        <f t="shared" si="2"/>
        <v>15</v>
      </c>
      <c r="C36" s="105">
        <f ca="1">IF(B34=G$5,G$1,IF(B36="","",SUM(OFFSET(Tilgungsplan!D$22,B34*C$12+G$6,0):OFFSET(Tilgungsplan!D$22,IF(B37="",G$4-1,B35*$C$12+G$6-1),0))))</f>
        <v>123483.422445954</v>
      </c>
      <c r="D36" s="105">
        <f ca="1">IF($B34=$G$5,$G$2,IF($B36="","",SUM(OFFSET(Tilgungsplan!E$22,$B34*$C$12+$G$6,0):OFFSET(Tilgungsplan!E$22,IF($B37="",$G$4-1,$B35*$C$12+$G$6-1),0))))</f>
        <v>269884.67374939128</v>
      </c>
      <c r="E36" s="105">
        <f t="shared" ca="1" si="3"/>
        <v>393368.09619534528</v>
      </c>
      <c r="F36" s="106">
        <f t="shared" ca="1" si="0"/>
        <v>2182287.574</v>
      </c>
      <c r="G36" s="83"/>
    </row>
    <row r="37" spans="1:7" x14ac:dyDescent="0.25">
      <c r="A37" s="104" t="str">
        <f t="shared" si="1"/>
        <v>01.01.2030</v>
      </c>
      <c r="B37" s="70">
        <f t="shared" si="2"/>
        <v>16</v>
      </c>
      <c r="C37" s="105">
        <f ca="1">IF(B35=G$5,G$1,IF(B37="","",SUM(OFFSET(Tilgungsplan!D$22,B35*C$12+G$6,0):OFFSET(Tilgungsplan!D$22,IF(B38="",G$4-1,B36*$C$12+G$6-1),0))))</f>
        <v>109033.077130925</v>
      </c>
      <c r="D37" s="105">
        <f ca="1">IF($B35=$G$5,$G$2,IF($B37="","",SUM(OFFSET(Tilgungsplan!E$22,$B35*$C$12+$G$6,0):OFFSET(Tilgungsplan!E$22,IF($B38="",$G$4-1,$B36*$C$12+$G$6-1),0))))</f>
        <v>284335.0190644206</v>
      </c>
      <c r="E37" s="105">
        <f t="shared" ca="1" si="3"/>
        <v>393368.09619534563</v>
      </c>
      <c r="F37" s="106">
        <f t="shared" ca="1" si="0"/>
        <v>1897952.5549999999</v>
      </c>
      <c r="G37" s="83"/>
    </row>
    <row r="38" spans="1:7" x14ac:dyDescent="0.25">
      <c r="A38" s="104" t="str">
        <f t="shared" si="1"/>
        <v>01.01.2031</v>
      </c>
      <c r="B38" s="70">
        <f t="shared" si="2"/>
        <v>17</v>
      </c>
      <c r="C38" s="105">
        <f ca="1">IF(B36=G$5,G$1,IF(B38="","",SUM(OFFSET(Tilgungsplan!D$22,B36*C$12+G$6,0):OFFSET(Tilgungsplan!D$22,IF(B39="",G$4-1,B37*$C$12+G$6-1),0))))</f>
        <v>93809.021783300006</v>
      </c>
      <c r="D38" s="105">
        <f ca="1">IF($B36=$G$5,$G$2,IF($B38="","",SUM(OFFSET(Tilgungsplan!E$22,$B36*$C$12+$G$6,0):OFFSET(Tilgungsplan!E$22,IF($B39="",$G$4-1,$B37*$C$12+$G$6-1),0))))</f>
        <v>299559.07441204513</v>
      </c>
      <c r="E38" s="105">
        <f t="shared" ca="1" si="3"/>
        <v>393368.09619534516</v>
      </c>
      <c r="F38" s="106">
        <f t="shared" ca="1" si="0"/>
        <v>1598393.4809999999</v>
      </c>
      <c r="G38" s="83"/>
    </row>
    <row r="39" spans="1:7" x14ac:dyDescent="0.25">
      <c r="A39" s="104" t="str">
        <f t="shared" si="1"/>
        <v>01.01.2032</v>
      </c>
      <c r="B39" s="70">
        <f t="shared" si="2"/>
        <v>18</v>
      </c>
      <c r="C39" s="105">
        <f ca="1">IF(B37=G$5,G$1,IF(B39="","",SUM(OFFSET(Tilgungsplan!D$22,B37*C$12+G$6,0):OFFSET(Tilgungsplan!D$22,IF(B40="",G$4-1,B38*$C$12+G$6-1),0))))</f>
        <v>77769.829904163998</v>
      </c>
      <c r="D39" s="105">
        <f ca="1">IF($B37=$G$5,$G$2,IF($B39="","",SUM(OFFSET(Tilgungsplan!E$22,$B37*$C$12+$G$6,0):OFFSET(Tilgungsplan!E$22,IF($B40="",$G$4-1,$B38*$C$12+$G$6-1),0))))</f>
        <v>315598.26629118156</v>
      </c>
      <c r="E39" s="105">
        <f t="shared" ca="1" si="3"/>
        <v>393368.09619534557</v>
      </c>
      <c r="F39" s="106">
        <f t="shared" ca="1" si="0"/>
        <v>1282795.2150000001</v>
      </c>
      <c r="G39" s="83"/>
    </row>
    <row r="40" spans="1:7" x14ac:dyDescent="0.25">
      <c r="A40" s="104" t="str">
        <f t="shared" si="1"/>
        <v>01.01.2033</v>
      </c>
      <c r="B40" s="70">
        <f t="shared" si="2"/>
        <v>19</v>
      </c>
      <c r="C40" s="105">
        <f ca="1">IF(B38=G$5,G$1,IF(B40="","",SUM(OFFSET(Tilgungsplan!D$22,B38*C$12+G$6,0):OFFSET(Tilgungsplan!D$22,IF(B41="",G$4-1,B39*$C$12+G$6-1),0))))</f>
        <v>60871.856909347996</v>
      </c>
      <c r="D40" s="105">
        <f ca="1">IF($B38=$G$5,$G$2,IF($B40="","",SUM(OFFSET(Tilgungsplan!E$22,$B38*$C$12+$G$6,0):OFFSET(Tilgungsplan!E$22,IF($B41="",$G$4-1,$B39*$C$12+$G$6-1),0))))</f>
        <v>332496.23928599834</v>
      </c>
      <c r="E40" s="105">
        <f t="shared" ca="1" si="3"/>
        <v>393368.09619534633</v>
      </c>
      <c r="F40" s="106">
        <f t="shared" ca="1" si="0"/>
        <v>950298.97600000002</v>
      </c>
      <c r="G40" s="83"/>
    </row>
    <row r="41" spans="1:7" x14ac:dyDescent="0.25">
      <c r="A41" s="104" t="str">
        <f t="shared" si="1"/>
        <v>01.01.2034</v>
      </c>
      <c r="B41" s="70">
        <f t="shared" si="2"/>
        <v>20</v>
      </c>
      <c r="C41" s="105">
        <f ca="1">IF(B39=G$5,G$1,IF(B41="","",SUM(OFFSET(Tilgungsplan!D$22,B39*C$12+G$6,0):OFFSET(Tilgungsplan!D$22,IF(B42="",G$4-1,B40*$C$12+G$6-1),0))))</f>
        <v>43069.121367228996</v>
      </c>
      <c r="D41" s="105">
        <f ca="1">IF($B39=$G$5,$G$2,IF($B41="","",SUM(OFFSET(Tilgungsplan!E$22,$B39*$C$12+$G$6,0):OFFSET(Tilgungsplan!E$22,IF($B42="",$G$4-1,$B40*$C$12+$G$6-1),0))))</f>
        <v>350298.97482811665</v>
      </c>
      <c r="E41" s="105">
        <f t="shared" ca="1" si="3"/>
        <v>393368.09619534563</v>
      </c>
      <c r="F41" s="106">
        <f t="shared" ca="1" si="0"/>
        <v>600000.00100000005</v>
      </c>
      <c r="G41" s="83"/>
    </row>
    <row r="42" spans="1:7" x14ac:dyDescent="0.25">
      <c r="A42" s="104" t="str">
        <f t="shared" si="1"/>
        <v/>
      </c>
      <c r="B42" s="70" t="str">
        <f t="shared" si="2"/>
        <v/>
      </c>
      <c r="C42" s="105" t="str">
        <f ca="1">IF(B40=G$5,G$1,IF(B42="","",SUM(OFFSET(Tilgungsplan!D$22,B40*C$12+G$6,0):OFFSET(Tilgungsplan!D$22,IF(B43="",G$4-1,B41*$C$12+G$6-1),0))))</f>
        <v/>
      </c>
      <c r="D42" s="105" t="str">
        <f ca="1">IF($B40=$G$5,$G$2,IF($B42="","",SUM(OFFSET(Tilgungsplan!E$22,$B40*$C$12+$G$6,0):OFFSET(Tilgungsplan!E$22,IF($B43="",$G$4-1,$B41*$C$12+$G$6-1),0))))</f>
        <v/>
      </c>
      <c r="E42" s="105" t="str">
        <f t="shared" ca="1" si="3"/>
        <v/>
      </c>
      <c r="F42" s="106" t="str">
        <f t="shared" si="0"/>
        <v/>
      </c>
      <c r="G42" s="83"/>
    </row>
    <row r="43" spans="1:7" x14ac:dyDescent="0.25">
      <c r="A43" s="104" t="str">
        <f t="shared" si="1"/>
        <v/>
      </c>
      <c r="B43" s="70" t="str">
        <f t="shared" si="2"/>
        <v/>
      </c>
      <c r="C43" s="105">
        <f ca="1">IF(B41=G$5,G$1,IF(B43="","",SUM(OFFSET(Tilgungsplan!D$22,B41*C$12+G$6,0):OFFSET(Tilgungsplan!D$22,IF(B44="",G$4-1,B42*$C$12+G$6-1),0))))</f>
        <v>3401927.8758092071</v>
      </c>
      <c r="D43" s="105">
        <f ca="1">IF($B41=$G$5,$G$2,IF($B43="","",SUM(OFFSET(Tilgungsplan!E$22,$B41*$C$12+$G$6,0):OFFSET(Tilgungsplan!E$22,IF($B44="",$G$4-1,$B42*$C$12+$G$6-1),0))))</f>
        <v>4400000.0000000224</v>
      </c>
      <c r="E43" s="105">
        <f t="shared" ca="1" si="3"/>
        <v>7801927.8758092299</v>
      </c>
      <c r="F43" s="106" t="str">
        <f t="shared" si="0"/>
        <v/>
      </c>
      <c r="G43" s="83"/>
    </row>
    <row r="44" spans="1:7" x14ac:dyDescent="0.25">
      <c r="A44" s="104" t="str">
        <f t="shared" si="1"/>
        <v/>
      </c>
      <c r="B44" s="70" t="str">
        <f t="shared" si="2"/>
        <v/>
      </c>
      <c r="C44" s="105" t="str">
        <f ca="1">IF(B42=G$5,G$1,IF(B44="","",SUM(OFFSET(Tilgungsplan!D$22,B42*C$12+G$6,0):OFFSET(Tilgungsplan!D$22,IF(B45="",G$4-1,B43*$C$12+G$6-1),0))))</f>
        <v/>
      </c>
      <c r="D44" s="105" t="str">
        <f ca="1">IF($B42=$G$5,$G$2,IF($B44="","",SUM(OFFSET(Tilgungsplan!E$22,$B42*$C$12+$G$6,0):OFFSET(Tilgungsplan!E$22,IF($B45="",$G$4-1,$B43*$C$12+$G$6-1),0))))</f>
        <v/>
      </c>
      <c r="E44" s="105" t="str">
        <f t="shared" ca="1" si="3"/>
        <v/>
      </c>
      <c r="F44" s="106" t="str">
        <f t="shared" si="0"/>
        <v/>
      </c>
      <c r="G44" s="83"/>
    </row>
    <row r="45" spans="1:7" x14ac:dyDescent="0.25">
      <c r="A45" s="104" t="str">
        <f t="shared" si="1"/>
        <v/>
      </c>
      <c r="B45" s="70" t="str">
        <f t="shared" si="2"/>
        <v/>
      </c>
      <c r="C45" s="105" t="str">
        <f ca="1">IF(B43=G$5,G$1,IF(B45="","",SUM(OFFSET(Tilgungsplan!D$22,B43*C$12+G$6,0):OFFSET(Tilgungsplan!D$22,IF(B46="",G$4-1,B44*$C$12+G$6-1),0))))</f>
        <v/>
      </c>
      <c r="D45" s="105" t="str">
        <f ca="1">IF($B43=$G$5,$G$2,IF($B45="","",SUM(OFFSET(Tilgungsplan!E$22,$B43*$C$12+$G$6,0):OFFSET(Tilgungsplan!E$22,IF($B46="",$G$4-1,$B44*$C$12+$G$6-1),0))))</f>
        <v/>
      </c>
      <c r="E45" s="105" t="str">
        <f t="shared" ca="1" si="3"/>
        <v/>
      </c>
      <c r="F45" s="106" t="str">
        <f t="shared" si="0"/>
        <v/>
      </c>
      <c r="G45" s="83"/>
    </row>
    <row r="46" spans="1:7" x14ac:dyDescent="0.25">
      <c r="A46" s="104" t="str">
        <f t="shared" si="1"/>
        <v/>
      </c>
      <c r="B46" s="70" t="str">
        <f t="shared" si="2"/>
        <v/>
      </c>
      <c r="C46" s="105" t="str">
        <f ca="1">IF(B44=G$5,G$1,IF(B46="","",SUM(OFFSET(Tilgungsplan!D$22,B44*C$12+G$6,0):OFFSET(Tilgungsplan!D$22,IF(B47="",G$4-1,B45*$C$12+G$6-1),0))))</f>
        <v/>
      </c>
      <c r="D46" s="105" t="str">
        <f ca="1">IF($B44=$G$5,$G$2,IF($B46="","",SUM(OFFSET(Tilgungsplan!E$22,$B44*$C$12+$G$6,0):OFFSET(Tilgungsplan!E$22,IF($B47="",$G$4-1,$B45*$C$12+$G$6-1),0))))</f>
        <v/>
      </c>
      <c r="E46" s="105" t="str">
        <f t="shared" ca="1" si="3"/>
        <v/>
      </c>
      <c r="F46" s="106" t="str">
        <f t="shared" si="0"/>
        <v/>
      </c>
      <c r="G46" s="83"/>
    </row>
    <row r="47" spans="1:7" x14ac:dyDescent="0.25">
      <c r="A47" s="104" t="str">
        <f t="shared" si="1"/>
        <v/>
      </c>
      <c r="B47" s="70" t="str">
        <f t="shared" si="2"/>
        <v/>
      </c>
      <c r="C47" s="105" t="str">
        <f ca="1">IF(B45=G$5,G$1,IF(B47="","",SUM(OFFSET(Tilgungsplan!D$22,B45*C$12+G$6,0):OFFSET(Tilgungsplan!D$22,IF(B48="",G$4-1,B46*$C$12+G$6-1),0))))</f>
        <v/>
      </c>
      <c r="D47" s="105" t="str">
        <f ca="1">IF($B45=$G$5,$G$2,IF($B47="","",SUM(OFFSET(Tilgungsplan!E$22,$B45*$C$12+$G$6,0):OFFSET(Tilgungsplan!E$22,IF($B48="",$G$4-1,$B46*$C$12+$G$6-1),0))))</f>
        <v/>
      </c>
      <c r="E47" s="105" t="str">
        <f t="shared" ca="1" si="3"/>
        <v/>
      </c>
      <c r="F47" s="106" t="str">
        <f t="shared" si="0"/>
        <v/>
      </c>
      <c r="G47" s="83"/>
    </row>
    <row r="48" spans="1:7" x14ac:dyDescent="0.25">
      <c r="A48" s="104" t="str">
        <f t="shared" si="1"/>
        <v/>
      </c>
      <c r="B48" s="70" t="str">
        <f t="shared" si="2"/>
        <v/>
      </c>
      <c r="C48" s="105" t="str">
        <f ca="1">IF(B46=G$5,G$1,IF(B48="","",SUM(OFFSET(Tilgungsplan!D$22,B46*C$12+G$6,0):OFFSET(Tilgungsplan!D$22,IF(B49="",G$4-1,B47*$C$12+G$6-1),0))))</f>
        <v/>
      </c>
      <c r="D48" s="105" t="str">
        <f ca="1">IF($B46=$G$5,$G$2,IF($B48="","",SUM(OFFSET(Tilgungsplan!E$22,$B46*$C$12+$G$6,0):OFFSET(Tilgungsplan!E$22,IF($B49="",$G$4-1,$B47*$C$12+$G$6-1),0))))</f>
        <v/>
      </c>
      <c r="E48" s="105" t="str">
        <f t="shared" ca="1" si="3"/>
        <v/>
      </c>
      <c r="F48" s="106" t="str">
        <f t="shared" si="0"/>
        <v/>
      </c>
      <c r="G48" s="83"/>
    </row>
    <row r="49" spans="1:7" x14ac:dyDescent="0.25">
      <c r="A49" s="104" t="str">
        <f t="shared" si="1"/>
        <v/>
      </c>
      <c r="B49" s="70" t="str">
        <f t="shared" si="2"/>
        <v/>
      </c>
      <c r="C49" s="105" t="str">
        <f ca="1">IF(B47=G$5,G$1,IF(B49="","",SUM(OFFSET(Tilgungsplan!D$22,B47*C$12+G$6,0):OFFSET(Tilgungsplan!D$22,IF(B50="",G$4-1,B48*$C$12+G$6-1),0))))</f>
        <v/>
      </c>
      <c r="D49" s="105" t="str">
        <f ca="1">IF($B47=$G$5,$G$2,IF($B49="","",SUM(OFFSET(Tilgungsplan!E$22,$B47*$C$12+$G$6,0):OFFSET(Tilgungsplan!E$22,IF($B50="",$G$4-1,$B48*$C$12+$G$6-1),0))))</f>
        <v/>
      </c>
      <c r="E49" s="105" t="str">
        <f t="shared" ca="1" si="3"/>
        <v/>
      </c>
      <c r="F49" s="106" t="str">
        <f t="shared" si="0"/>
        <v/>
      </c>
      <c r="G49" s="83"/>
    </row>
    <row r="50" spans="1:7" x14ac:dyDescent="0.25">
      <c r="A50" s="104" t="str">
        <f t="shared" si="1"/>
        <v/>
      </c>
      <c r="B50" s="70" t="str">
        <f t="shared" si="2"/>
        <v/>
      </c>
      <c r="C50" s="105" t="str">
        <f ca="1">IF(B48=G$5,G$1,IF(B50="","",SUM(OFFSET(Tilgungsplan!D$22,B48*C$12+G$6,0):OFFSET(Tilgungsplan!D$22,IF(B51="",G$4-1,B49*$C$12+G$6-1),0))))</f>
        <v/>
      </c>
      <c r="D50" s="105" t="str">
        <f ca="1">IF($B48=$G$5,$G$2,IF($B50="","",SUM(OFFSET(Tilgungsplan!E$22,$B48*$C$12+$G$6,0):OFFSET(Tilgungsplan!E$22,IF($B51="",$G$4-1,$B49*$C$12+$G$6-1),0))))</f>
        <v/>
      </c>
      <c r="E50" s="105" t="str">
        <f t="shared" ca="1" si="3"/>
        <v/>
      </c>
      <c r="F50" s="106" t="str">
        <f t="shared" si="0"/>
        <v/>
      </c>
      <c r="G50" s="83"/>
    </row>
    <row r="51" spans="1:7" x14ac:dyDescent="0.25">
      <c r="A51" s="104" t="str">
        <f t="shared" si="1"/>
        <v/>
      </c>
      <c r="B51" s="70" t="str">
        <f t="shared" si="2"/>
        <v/>
      </c>
      <c r="C51" s="105" t="str">
        <f ca="1">IF(B49=G$5,G$1,IF(B51="","",SUM(OFFSET(Tilgungsplan!D$22,B49*C$12+G$6,0):OFFSET(Tilgungsplan!D$22,IF(B52="",G$4-1,B50*$C$12+G$6-1),0))))</f>
        <v/>
      </c>
      <c r="D51" s="105" t="str">
        <f ca="1">IF($B49=$G$5,$G$2,IF($B51="","",SUM(OFFSET(Tilgungsplan!E$22,$B49*$C$12+$G$6,0):OFFSET(Tilgungsplan!E$22,IF($B52="",$G$4-1,$B50*$C$12+$G$6-1),0))))</f>
        <v/>
      </c>
      <c r="E51" s="105" t="str">
        <f t="shared" ca="1" si="3"/>
        <v/>
      </c>
      <c r="F51" s="106" t="str">
        <f t="shared" si="0"/>
        <v/>
      </c>
      <c r="G51" s="83"/>
    </row>
    <row r="52" spans="1:7" x14ac:dyDescent="0.25">
      <c r="A52" s="104" t="str">
        <f t="shared" si="1"/>
        <v/>
      </c>
      <c r="B52" s="70" t="str">
        <f t="shared" si="2"/>
        <v/>
      </c>
      <c r="C52" s="105" t="str">
        <f ca="1">IF(B50=G$5,G$1,IF(B52="","",SUM(OFFSET(Tilgungsplan!D$22,B50*C$12+G$6,0):OFFSET(Tilgungsplan!D$22,IF(B53="",G$4-1,B51*$C$12+G$6-1),0))))</f>
        <v/>
      </c>
      <c r="D52" s="105" t="str">
        <f ca="1">IF($B50=$G$5,$G$2,IF($B52="","",SUM(OFFSET(Tilgungsplan!E$22,$B50*$C$12+$G$6,0):OFFSET(Tilgungsplan!E$22,IF($B53="",$G$4-1,$B51*$C$12+$G$6-1),0))))</f>
        <v/>
      </c>
      <c r="E52" s="105" t="str">
        <f t="shared" ca="1" si="3"/>
        <v/>
      </c>
      <c r="F52" s="106" t="str">
        <f t="shared" si="0"/>
        <v/>
      </c>
      <c r="G52" s="83"/>
    </row>
    <row r="53" spans="1:7" x14ac:dyDescent="0.25">
      <c r="A53" s="104" t="str">
        <f t="shared" si="1"/>
        <v/>
      </c>
      <c r="B53" s="70" t="str">
        <f t="shared" si="2"/>
        <v/>
      </c>
      <c r="C53" s="105" t="str">
        <f ca="1">IF(B51=G$5,G$1,IF(B53="","",SUM(OFFSET(Tilgungsplan!D$22,B51*C$12+G$6,0):OFFSET(Tilgungsplan!D$22,IF(B54="",G$4-1,B52*$C$12+G$6-1),0))))</f>
        <v/>
      </c>
      <c r="D53" s="105" t="str">
        <f ca="1">IF($B51=$G$5,$G$2,IF($B53="","",SUM(OFFSET(Tilgungsplan!E$22,$B51*$C$12+$G$6,0):OFFSET(Tilgungsplan!E$22,IF($B54="",$G$4-1,$B52*$C$12+$G$6-1),0))))</f>
        <v/>
      </c>
      <c r="E53" s="105" t="str">
        <f t="shared" ca="1" si="3"/>
        <v/>
      </c>
      <c r="F53" s="106" t="str">
        <f t="shared" si="0"/>
        <v/>
      </c>
      <c r="G53" s="83"/>
    </row>
    <row r="54" spans="1:7" x14ac:dyDescent="0.25">
      <c r="A54" s="108"/>
      <c r="B54" s="106"/>
      <c r="E54" s="105"/>
      <c r="G54" s="83"/>
    </row>
    <row r="55" spans="1:7" x14ac:dyDescent="0.25">
      <c r="B55" s="106"/>
      <c r="G55" s="83"/>
    </row>
    <row r="56" spans="1:7" x14ac:dyDescent="0.25">
      <c r="B56" s="106"/>
      <c r="G56" s="83"/>
    </row>
    <row r="57" spans="1:7" x14ac:dyDescent="0.25">
      <c r="B57" s="106"/>
      <c r="G57" s="83"/>
    </row>
    <row r="58" spans="1:7" x14ac:dyDescent="0.25">
      <c r="B58" s="106"/>
      <c r="G58" s="83"/>
    </row>
    <row r="59" spans="1:7" x14ac:dyDescent="0.25">
      <c r="B59" s="106"/>
    </row>
    <row r="60" spans="1:7" x14ac:dyDescent="0.25">
      <c r="B60" s="106"/>
    </row>
    <row r="61" spans="1:7" x14ac:dyDescent="0.25">
      <c r="B61" s="106"/>
    </row>
    <row r="62" spans="1:7" x14ac:dyDescent="0.25">
      <c r="B62" s="106"/>
    </row>
    <row r="63" spans="1:7" x14ac:dyDescent="0.25">
      <c r="B63" s="106"/>
    </row>
    <row r="64" spans="1:7" x14ac:dyDescent="0.25">
      <c r="B64" s="106"/>
    </row>
    <row r="65" spans="2:2" x14ac:dyDescent="0.25">
      <c r="B65" s="106"/>
    </row>
    <row r="66" spans="2:2" x14ac:dyDescent="0.25">
      <c r="B66" s="106"/>
    </row>
    <row r="67" spans="2:2" x14ac:dyDescent="0.25">
      <c r="B67" s="106"/>
    </row>
    <row r="68" spans="2:2" x14ac:dyDescent="0.25">
      <c r="B68" s="106"/>
    </row>
  </sheetData>
  <sheetProtection sheet="1" objects="1" scenarios="1"/>
  <phoneticPr fontId="0" type="noConversion"/>
  <printOptions horizontalCentered="1"/>
  <pageMargins left="0.23622047244094491" right="0.25" top="0.56999999999999995" bottom="0.47244094488188981" header="0.23622047244094491" footer="0.23622047244094491"/>
  <pageSetup paperSize="9" orientation="portrait" blackAndWhite="1" horizontalDpi="4294967292" verticalDpi="300" r:id="rId1"/>
  <headerFooter alignWithMargins="0">
    <oddFooter>&amp;L&amp;8&amp;D&amp;R&amp;8WFTILG.XLS; &amp;A  Version: 03.05.2000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info</vt:lpstr>
      <vt:lpstr>Tilgungsplan</vt:lpstr>
      <vt:lpstr>p.a.</vt:lpstr>
      <vt:lpstr>info!Druckbereich</vt:lpstr>
      <vt:lpstr>p.a.!Druckbereich</vt:lpstr>
      <vt:lpstr>p.a.!Drucktitel</vt:lpstr>
      <vt:lpstr>Tilgungsplan!Drucktitel</vt:lpstr>
    </vt:vector>
  </TitlesOfParts>
  <Company>WF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FRICKE</dc:creator>
  <cp:lastModifiedBy>WF</cp:lastModifiedBy>
  <cp:lastPrinted>2005-12-07T15:31:54Z</cp:lastPrinted>
  <dcterms:created xsi:type="dcterms:W3CDTF">1998-07-17T08:15:52Z</dcterms:created>
  <dcterms:modified xsi:type="dcterms:W3CDTF">2015-08-08T07:06:24Z</dcterms:modified>
</cp:coreProperties>
</file>