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lter\Documents\Excel\wf\homepage\"/>
    </mc:Choice>
  </mc:AlternateContent>
  <bookViews>
    <workbookView xWindow="0" yWindow="0" windowWidth="23040" windowHeight="10296"/>
  </bookViews>
  <sheets>
    <sheet name="Stück" sheetId="1" r:id="rId1"/>
  </sheets>
  <externalReferences>
    <externalReference r:id="rId2"/>
    <externalReference r:id="rId3"/>
  </externalReferences>
  <definedNames>
    <definedName name="_c">#REF!</definedName>
    <definedName name="_xlnm._FilterDatabase" localSheetId="0" hidden="1">Stück!$B$8:$E$26</definedName>
    <definedName name="a">#REF!</definedName>
    <definedName name="abc">[1]Depot!$C$8:$N$18</definedName>
    <definedName name="b">#REF!</definedName>
    <definedName name="_xlnm.Print_Area" localSheetId="0">Stück!$G$1:$J$19</definedName>
    <definedName name="p">#REF!</definedName>
    <definedName name="q">#REF!</definedName>
    <definedName name="Tabelle">[2]Rang!$A$1:$J$20</definedName>
  </definedNames>
  <calcPr calcId="152511" iterateCount="1"/>
</workbook>
</file>

<file path=xl/calcChain.xml><?xml version="1.0" encoding="utf-8"?>
<calcChain xmlns="http://schemas.openxmlformats.org/spreadsheetml/2006/main">
  <c r="P5" i="1" l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E2" i="1" l="1"/>
  <c r="L5" i="1" s="1"/>
  <c r="M26" i="1"/>
  <c r="G2" i="1" l="1"/>
  <c r="B16" i="1"/>
  <c r="B17" i="1"/>
  <c r="K8" i="1"/>
  <c r="K21" i="1"/>
  <c r="M14" i="1"/>
  <c r="K7" i="1"/>
  <c r="M7" i="1"/>
  <c r="M8" i="1" s="1"/>
  <c r="M9" i="1" s="1"/>
  <c r="M10" i="1" s="1"/>
  <c r="M11" i="1" s="1"/>
  <c r="K15" i="1"/>
  <c r="B21" i="1"/>
  <c r="K12" i="1"/>
  <c r="B14" i="1"/>
  <c r="B24" i="1"/>
  <c r="M18" i="1"/>
  <c r="K10" i="1"/>
  <c r="B23" i="1"/>
  <c r="M22" i="1"/>
  <c r="B22" i="1"/>
  <c r="B25" i="1"/>
  <c r="M17" i="1"/>
  <c r="K6" i="1"/>
  <c r="K11" i="1"/>
  <c r="B10" i="1"/>
  <c r="M13" i="1"/>
  <c r="B9" i="1"/>
  <c r="C9" i="1" s="1"/>
  <c r="A9" i="1" s="1"/>
  <c r="K13" i="1"/>
  <c r="M21" i="1"/>
  <c r="B18" i="1"/>
  <c r="M20" i="1"/>
  <c r="M23" i="1"/>
  <c r="M16" i="1"/>
  <c r="M12" i="1"/>
  <c r="B13" i="1"/>
  <c r="K9" i="1"/>
  <c r="K17" i="1"/>
  <c r="K18" i="1"/>
  <c r="K24" i="1"/>
  <c r="B27" i="1"/>
  <c r="M25" i="1"/>
  <c r="K16" i="1"/>
  <c r="K23" i="1"/>
  <c r="K19" i="1"/>
  <c r="B15" i="1"/>
  <c r="M19" i="1"/>
  <c r="M15" i="1"/>
  <c r="K14" i="1"/>
  <c r="B12" i="1"/>
  <c r="M6" i="1"/>
  <c r="K20" i="1"/>
  <c r="B26" i="1"/>
  <c r="B11" i="1"/>
  <c r="B28" i="1"/>
  <c r="B19" i="1"/>
  <c r="M24" i="1"/>
  <c r="K22" i="1"/>
  <c r="B20" i="1"/>
  <c r="C10" i="1" l="1"/>
  <c r="C11" i="1" s="1"/>
  <c r="D11" i="1" s="1"/>
  <c r="D9" i="1"/>
  <c r="G7" i="1"/>
  <c r="D10" i="1" l="1"/>
  <c r="A10" i="1"/>
  <c r="C12" i="1"/>
  <c r="A11" i="1" l="1"/>
  <c r="A12" i="1" s="1"/>
  <c r="D12" i="1"/>
  <c r="C13" i="1"/>
  <c r="C14" i="1" s="1"/>
  <c r="D13" i="1" l="1"/>
  <c r="C15" i="1"/>
  <c r="B30" i="1" s="1"/>
  <c r="D14" i="1"/>
  <c r="A13" i="1"/>
  <c r="A14" i="1" s="1"/>
  <c r="B31" i="1" l="1"/>
  <c r="A15" i="1"/>
  <c r="C16" i="1"/>
  <c r="D15" i="1"/>
  <c r="A16" i="1" l="1"/>
  <c r="C17" i="1"/>
  <c r="D16" i="1"/>
  <c r="A17" i="1" l="1"/>
  <c r="D17" i="1"/>
  <c r="C18" i="1"/>
  <c r="C19" i="1" s="1"/>
  <c r="D19" i="1" s="1"/>
  <c r="D18" i="1" l="1"/>
  <c r="A18" i="1"/>
  <c r="A19" i="1" s="1"/>
  <c r="C20" i="1"/>
  <c r="C21" i="1" l="1"/>
  <c r="A20" i="1"/>
  <c r="D20" i="1"/>
  <c r="A21" i="1" l="1"/>
  <c r="D21" i="1"/>
  <c r="C22" i="1"/>
  <c r="D22" i="1" l="1"/>
  <c r="A22" i="1"/>
  <c r="C23" i="1"/>
  <c r="C24" i="1" s="1"/>
  <c r="D24" i="1" l="1"/>
  <c r="A24" i="1"/>
  <c r="C30" i="1"/>
  <c r="C31" i="1"/>
  <c r="D23" i="1"/>
  <c r="A23" i="1"/>
  <c r="C25" i="1"/>
  <c r="C26" i="1" s="1"/>
  <c r="D26" i="1" l="1"/>
  <c r="A26" i="1"/>
  <c r="C27" i="1"/>
  <c r="C28" i="1" s="1"/>
  <c r="A25" i="1"/>
  <c r="D25" i="1"/>
  <c r="J9" i="1"/>
  <c r="J15" i="1"/>
  <c r="J11" i="1"/>
  <c r="J12" i="1"/>
  <c r="J14" i="1"/>
  <c r="J13" i="1"/>
  <c r="J17" i="1"/>
  <c r="J16" i="1"/>
  <c r="J10" i="1"/>
  <c r="A27" i="1" l="1"/>
  <c r="D27" i="1"/>
  <c r="A28" i="1"/>
  <c r="D28" i="1"/>
  <c r="I10" i="1" l="1"/>
  <c r="G13" i="1"/>
  <c r="G17" i="1"/>
  <c r="I19" i="1"/>
  <c r="I22" i="1"/>
  <c r="I14" i="1"/>
  <c r="I24" i="1"/>
  <c r="I18" i="1"/>
  <c r="I28" i="1"/>
  <c r="G27" i="1"/>
  <c r="I11" i="1"/>
  <c r="G22" i="1"/>
  <c r="I23" i="1"/>
  <c r="I9" i="1"/>
  <c r="G9" i="1"/>
  <c r="G25" i="1"/>
  <c r="G16" i="1"/>
  <c r="I20" i="1"/>
  <c r="I12" i="1"/>
  <c r="I26" i="1"/>
  <c r="I13" i="1"/>
  <c r="I16" i="1"/>
  <c r="G12" i="1"/>
  <c r="G19" i="1"/>
  <c r="G20" i="1"/>
  <c r="I15" i="1"/>
  <c r="G28" i="1"/>
  <c r="G15" i="1"/>
  <c r="I17" i="1"/>
  <c r="I21" i="1"/>
  <c r="G18" i="1"/>
  <c r="G23" i="1"/>
  <c r="G11" i="1"/>
  <c r="G26" i="1"/>
  <c r="I27" i="1"/>
  <c r="I25" i="1"/>
  <c r="G21" i="1"/>
  <c r="G10" i="1"/>
  <c r="G24" i="1"/>
  <c r="G14" i="1"/>
  <c r="N6" i="1" l="1"/>
  <c r="I6" i="1"/>
</calcChain>
</file>

<file path=xl/comments1.xml><?xml version="1.0" encoding="utf-8"?>
<comments xmlns="http://schemas.openxmlformats.org/spreadsheetml/2006/main">
  <authors>
    <author>Ein geschätzter Microsoft Office Anwender</author>
  </authors>
  <commentList>
    <comment ref="F2" authorId="0" shapeId="0">
      <text>
        <r>
          <rPr>
            <sz val="8"/>
            <color indexed="81"/>
            <rFont val="Tahoma"/>
            <family val="2"/>
          </rPr>
          <t>Wird nur EURO eingegeben heißt die Überschrift:
"EURO-Geldmengenminimierung"; -
bei EURO+weiterer Text: "EURO+dieser Text"
z.B.: "EURO-Wechselgeld"
oder eine individuelle Überschrift
leer lautet die Überschrift: Stückzahl-Minimierung</t>
        </r>
      </text>
    </comment>
    <comment ref="G6" authorId="0" shapeId="0">
      <text>
        <r>
          <rPr>
            <sz val="8"/>
            <color indexed="81"/>
            <rFont val="Tahoma"/>
            <family val="2"/>
          </rPr>
          <t>Bei 888,88 EURO kommt jeder Schein / jede Münze einmal vor.</t>
        </r>
      </text>
    </comment>
  </commentList>
</comments>
</file>

<file path=xl/sharedStrings.xml><?xml version="1.0" encoding="utf-8"?>
<sst xmlns="http://schemas.openxmlformats.org/spreadsheetml/2006/main" count="6" uniqueCount="6">
  <si>
    <t xml:space="preserve"> Kontrolle</t>
  </si>
  <si>
    <t>Anzahl</t>
  </si>
  <si>
    <t xml:space="preserve">RUNDEN(;5 oder mehr als 2) ist nötig, da sonst </t>
  </si>
  <si>
    <t>ein Pfennig geschlampt wird (= Fließkommaproblem)</t>
  </si>
  <si>
    <t>Eine Abstufung 8 - 7 - 1 ergibt natürlich Blödsinn bei einem Betrag von z.B.14</t>
  </si>
  <si>
    <r>
      <t xml:space="preserve">Voraussetzung sind </t>
    </r>
    <r>
      <rPr>
        <b/>
        <sz val="11"/>
        <rFont val="Arial"/>
        <family val="2"/>
      </rPr>
      <t>"logische"</t>
    </r>
    <r>
      <rPr>
        <sz val="11"/>
        <rFont val="Arial"/>
        <family val="2"/>
      </rPr>
      <t xml:space="preserve"> Abstufungen.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</si>
</sst>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;;;"/>
    <numFmt numFmtId="165" formatCode="0&quot;.&quot;"/>
    <numFmt numFmtId="166" formatCode="_-* #,##0.00\ [$€]_-;\-* #,##0.00\ [$€]_-;_-* &quot;-&quot;??\ [$€]_-;_-@_-"/>
  </numFmts>
  <fonts count="38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name val="Arial"/>
      <family val="2"/>
    </font>
    <font>
      <sz val="11"/>
      <color indexed="17"/>
      <name val="Calibri"/>
      <family val="2"/>
    </font>
    <font>
      <u/>
      <sz val="13.2"/>
      <color indexed="12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2"/>
      <name val="Arial"/>
      <family val="2"/>
    </font>
    <font>
      <b/>
      <sz val="8"/>
      <color indexed="10"/>
      <name val="Arial"/>
      <family val="2"/>
    </font>
    <font>
      <b/>
      <sz val="14"/>
      <name val="Arial"/>
      <family val="2"/>
    </font>
    <font>
      <b/>
      <sz val="11"/>
      <color indexed="8"/>
      <name val="Arial"/>
      <family val="2"/>
    </font>
    <font>
      <sz val="11"/>
      <color indexed="12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sz val="8"/>
      <color indexed="81"/>
      <name val="Tahoma"/>
      <family val="2"/>
    </font>
    <font>
      <b/>
      <sz val="10"/>
      <color rgb="FFFF0000"/>
      <name val="Arial"/>
      <family val="2"/>
    </font>
    <font>
      <b/>
      <sz val="11"/>
      <color indexed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7">
    <xf numFmtId="0" fontId="0" fillId="0" borderId="0"/>
    <xf numFmtId="0" fontId="3" fillId="0" borderId="0"/>
    <xf numFmtId="0" fontId="2" fillId="0" borderId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8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15" borderId="0" applyNumberFormat="0" applyBorder="0" applyAlignment="0" applyProtection="0"/>
    <xf numFmtId="0" fontId="5" fillId="22" borderId="0" applyNumberFormat="0" applyBorder="0" applyAlignment="0" applyProtection="0"/>
    <xf numFmtId="0" fontId="6" fillId="10" borderId="1" applyNumberFormat="0" applyAlignment="0" applyProtection="0"/>
    <xf numFmtId="0" fontId="7" fillId="10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0" fontId="12" fillId="6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11" borderId="0" applyNumberFormat="0" applyBorder="0" applyAlignment="0" applyProtection="0"/>
    <xf numFmtId="0" fontId="4" fillId="4" borderId="4" applyNumberFormat="0" applyFont="0" applyAlignment="0" applyProtection="0"/>
    <xf numFmtId="0" fontId="15" fillId="7" borderId="0" applyNumberFormat="0" applyBorder="0" applyAlignment="0" applyProtection="0"/>
    <xf numFmtId="0" fontId="11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23" borderId="9" applyNumberFormat="0" applyAlignment="0" applyProtection="0"/>
  </cellStyleXfs>
  <cellXfs count="42">
    <xf numFmtId="0" fontId="0" fillId="0" borderId="0" xfId="0"/>
    <xf numFmtId="0" fontId="11" fillId="0" borderId="0" xfId="38" applyProtection="1">
      <protection hidden="1"/>
    </xf>
    <xf numFmtId="0" fontId="11" fillId="0" borderId="0" xfId="38" applyNumberFormat="1" applyProtection="1">
      <protection hidden="1"/>
    </xf>
    <xf numFmtId="0" fontId="11" fillId="0" borderId="0" xfId="38" applyAlignment="1" applyProtection="1">
      <alignment horizontal="right"/>
      <protection hidden="1"/>
    </xf>
    <xf numFmtId="0" fontId="11" fillId="0" borderId="0" xfId="38" applyAlignment="1" applyProtection="1">
      <alignment horizontal="center"/>
      <protection hidden="1"/>
    </xf>
    <xf numFmtId="0" fontId="23" fillId="0" borderId="0" xfId="38" applyFont="1" applyAlignment="1" applyProtection="1">
      <alignment horizontal="right"/>
      <protection hidden="1"/>
    </xf>
    <xf numFmtId="0" fontId="24" fillId="0" borderId="0" xfId="34" applyFont="1" applyAlignment="1" applyProtection="1">
      <alignment horizontal="center" vertical="top"/>
    </xf>
    <xf numFmtId="0" fontId="11" fillId="0" borderId="0" xfId="38" applyAlignment="1" applyProtection="1">
      <alignment horizontal="left"/>
      <protection hidden="1"/>
    </xf>
    <xf numFmtId="0" fontId="25" fillId="0" borderId="0" xfId="38" applyFont="1" applyAlignment="1" applyProtection="1">
      <alignment horizontal="left"/>
      <protection hidden="1"/>
    </xf>
    <xf numFmtId="0" fontId="1" fillId="0" borderId="0" xfId="38" applyFont="1" applyProtection="1">
      <protection hidden="1"/>
    </xf>
    <xf numFmtId="0" fontId="26" fillId="0" borderId="0" xfId="38" applyNumberFormat="1" applyFont="1" applyAlignment="1" applyProtection="1">
      <alignment horizontal="right"/>
      <protection hidden="1"/>
    </xf>
    <xf numFmtId="0" fontId="11" fillId="24" borderId="0" xfId="38" applyNumberFormat="1" applyFont="1" applyFill="1" applyAlignment="1" applyProtection="1">
      <protection locked="0"/>
    </xf>
    <xf numFmtId="4" fontId="11" fillId="24" borderId="0" xfId="38" applyNumberFormat="1" applyFont="1" applyFill="1" applyAlignment="1" applyProtection="1">
      <protection locked="0"/>
    </xf>
    <xf numFmtId="0" fontId="11" fillId="24" borderId="0" xfId="38" applyFont="1" applyFill="1" applyAlignment="1" applyProtection="1">
      <protection locked="0"/>
    </xf>
    <xf numFmtId="0" fontId="27" fillId="24" borderId="0" xfId="38" applyFont="1" applyFill="1" applyAlignment="1" applyProtection="1">
      <protection locked="0"/>
    </xf>
    <xf numFmtId="0" fontId="28" fillId="24" borderId="0" xfId="38" applyNumberFormat="1" applyFont="1" applyFill="1" applyAlignment="1" applyProtection="1">
      <protection locked="0"/>
    </xf>
    <xf numFmtId="4" fontId="29" fillId="24" borderId="0" xfId="38" applyNumberFormat="1" applyFont="1" applyFill="1" applyAlignment="1" applyProtection="1">
      <alignment horizontal="right"/>
      <protection locked="0"/>
    </xf>
    <xf numFmtId="3" fontId="30" fillId="24" borderId="0" xfId="38" applyNumberFormat="1" applyFont="1" applyFill="1" applyProtection="1">
      <protection locked="0"/>
    </xf>
    <xf numFmtId="0" fontId="31" fillId="0" borderId="0" xfId="38" applyFont="1" applyProtection="1">
      <protection hidden="1"/>
    </xf>
    <xf numFmtId="165" fontId="11" fillId="0" borderId="0" xfId="38" applyNumberFormat="1" applyAlignment="1" applyProtection="1">
      <alignment horizontal="center"/>
      <protection hidden="1"/>
    </xf>
    <xf numFmtId="0" fontId="32" fillId="0" borderId="0" xfId="38" applyNumberFormat="1" applyFont="1" applyProtection="1">
      <protection hidden="1"/>
    </xf>
    <xf numFmtId="0" fontId="32" fillId="0" borderId="0" xfId="38" applyFont="1" applyAlignment="1" applyProtection="1">
      <alignment horizontal="center"/>
      <protection hidden="1"/>
    </xf>
    <xf numFmtId="0" fontId="23" fillId="0" borderId="0" xfId="38" applyFont="1" applyProtection="1">
      <protection hidden="1"/>
    </xf>
    <xf numFmtId="0" fontId="23" fillId="0" borderId="0" xfId="38" applyNumberFormat="1" applyFont="1" applyProtection="1">
      <protection hidden="1"/>
    </xf>
    <xf numFmtId="0" fontId="33" fillId="0" borderId="0" xfId="38" applyNumberFormat="1" applyFont="1" applyAlignment="1" applyProtection="1">
      <alignment horizontal="center"/>
      <protection hidden="1"/>
    </xf>
    <xf numFmtId="4" fontId="11" fillId="0" borderId="0" xfId="38" applyNumberFormat="1" applyProtection="1">
      <protection hidden="1"/>
    </xf>
    <xf numFmtId="0" fontId="30" fillId="24" borderId="0" xfId="38" applyNumberFormat="1" applyFont="1" applyFill="1" applyProtection="1">
      <protection locked="0"/>
    </xf>
    <xf numFmtId="0" fontId="34" fillId="0" borderId="0" xfId="38" applyNumberFormat="1" applyFont="1" applyAlignment="1" applyProtection="1">
      <alignment horizontal="center"/>
      <protection hidden="1"/>
    </xf>
    <xf numFmtId="0" fontId="31" fillId="0" borderId="0" xfId="38" applyFont="1" applyAlignment="1" applyProtection="1">
      <alignment horizontal="left"/>
      <protection hidden="1"/>
    </xf>
    <xf numFmtId="0" fontId="30" fillId="0" borderId="0" xfId="38" applyNumberFormat="1" applyFont="1" applyProtection="1">
      <protection hidden="1"/>
    </xf>
    <xf numFmtId="0" fontId="1" fillId="0" borderId="0" xfId="38" applyFont="1" applyAlignment="1" applyProtection="1">
      <alignment horizontal="center"/>
      <protection hidden="1"/>
    </xf>
    <xf numFmtId="164" fontId="2" fillId="24" borderId="0" xfId="38" applyNumberFormat="1" applyFont="1" applyFill="1" applyProtection="1">
      <protection locked="0"/>
    </xf>
    <xf numFmtId="2" fontId="11" fillId="0" borderId="0" xfId="38" applyNumberFormat="1" applyProtection="1">
      <protection hidden="1"/>
    </xf>
    <xf numFmtId="0" fontId="36" fillId="0" borderId="0" xfId="0" applyFont="1" applyAlignment="1">
      <alignment horizontal="right"/>
    </xf>
    <xf numFmtId="0" fontId="2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37" fillId="0" borderId="0" xfId="38" applyFont="1" applyAlignment="1" applyProtection="1">
      <alignment horizontal="right"/>
      <protection hidden="1"/>
    </xf>
    <xf numFmtId="0" fontId="37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0" fontId="3" fillId="0" borderId="0" xfId="0" applyFont="1"/>
  </cellXfs>
  <cellStyles count="47">
    <cellStyle name="%" xfId="1"/>
    <cellStyle name="%_SILVINFO" xfId="2"/>
    <cellStyle name="20% - Akzent1" xfId="3"/>
    <cellStyle name="20% - Akzent2" xfId="4"/>
    <cellStyle name="20% - Akzent3" xfId="5"/>
    <cellStyle name="20% - Akzent4" xfId="6"/>
    <cellStyle name="20% - Akzent5" xfId="7"/>
    <cellStyle name="20% - Akzent6" xfId="8"/>
    <cellStyle name="40% - Akzent1" xfId="9"/>
    <cellStyle name="40% - Akzent2" xfId="10"/>
    <cellStyle name="40% - Akzent3" xfId="11"/>
    <cellStyle name="40% - Akzent4" xfId="12"/>
    <cellStyle name="40% - Akzent5" xfId="13"/>
    <cellStyle name="40% - Akzent6" xfId="14"/>
    <cellStyle name="60% - Akzent1" xfId="15"/>
    <cellStyle name="60% - Akzent2" xfId="16"/>
    <cellStyle name="60% - Akzent3" xfId="17"/>
    <cellStyle name="60% - Akzent4" xfId="18"/>
    <cellStyle name="60% - Akzent5" xfId="19"/>
    <cellStyle name="60% - Akzent6" xfId="20"/>
    <cellStyle name="Akzent1" xfId="21" builtinId="29" customBuiltin="1"/>
    <cellStyle name="Akzent2" xfId="22" builtinId="33" customBuiltin="1"/>
    <cellStyle name="Akzent3" xfId="23" builtinId="37" customBuiltin="1"/>
    <cellStyle name="Akzent4" xfId="24" builtinId="41" customBuiltin="1"/>
    <cellStyle name="Akzent5" xfId="25" builtinId="45" customBuiltin="1"/>
    <cellStyle name="Akzent6" xfId="26" builtinId="49" customBuiltin="1"/>
    <cellStyle name="Ausgabe" xfId="27" builtinId="21" customBuiltin="1"/>
    <cellStyle name="Berechnung" xfId="28" builtinId="22" customBuiltin="1"/>
    <cellStyle name="Eingabe" xfId="29" builtinId="20" customBuiltin="1"/>
    <cellStyle name="Ergebnis" xfId="30" builtinId="25" customBuiltin="1"/>
    <cellStyle name="Erklärender Text" xfId="31" builtinId="53" customBuiltin="1"/>
    <cellStyle name="Euro" xfId="32"/>
    <cellStyle name="Gut" xfId="33" builtinId="26" customBuiltin="1"/>
    <cellStyle name="Link" xfId="34" builtinId="8"/>
    <cellStyle name="Neutral" xfId="35" builtinId="28" customBuiltin="1"/>
    <cellStyle name="Notiz" xfId="36" builtinId="10" customBuiltin="1"/>
    <cellStyle name="Schlecht" xfId="37" builtinId="27" customBuiltin="1"/>
    <cellStyle name="Standard" xfId="0" builtinId="0"/>
    <cellStyle name="Standard_Sorten" xfId="38"/>
    <cellStyle name="Überschrift" xfId="39" builtinId="15" customBuiltin="1"/>
    <cellStyle name="Überschrift 1" xfId="40" builtinId="16" customBuiltin="1"/>
    <cellStyle name="Überschrift 2" xfId="41" builtinId="17" customBuiltin="1"/>
    <cellStyle name="Überschrift 3" xfId="42" builtinId="18" customBuiltin="1"/>
    <cellStyle name="Überschrift 4" xfId="43" builtinId="19" customBuiltin="1"/>
    <cellStyle name="Verknüpfte Zelle" xfId="44" builtinId="24" customBuiltin="1"/>
    <cellStyle name="Warnender Text" xfId="45" builtinId="11" customBuiltin="1"/>
    <cellStyle name="Zelle überprüfen" xfId="46" builtinId="23" customBuiltin="1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kb.de\DU1DFS1\EXCEL\wf\DAX\WERT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Osterform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käufe"/>
      <sheetName val="Depot"/>
    </sheetNames>
    <sheetDataSet>
      <sheetData sheetId="0" refreshError="1"/>
      <sheetData sheetId="1">
        <row r="8">
          <cell r="C8" t="str">
            <v>DIT</v>
          </cell>
          <cell r="D8">
            <v>879</v>
          </cell>
          <cell r="E8">
            <v>38244</v>
          </cell>
          <cell r="F8">
            <v>48292.26</v>
          </cell>
          <cell r="G8">
            <v>57.43</v>
          </cell>
          <cell r="I8">
            <v>54.940000000000005</v>
          </cell>
          <cell r="J8" t="str">
            <v/>
          </cell>
          <cell r="K8">
            <v>50480.97</v>
          </cell>
          <cell r="L8">
            <v>2188.7099999999991</v>
          </cell>
          <cell r="M8">
            <v>4.532216963960682</v>
          </cell>
          <cell r="N8">
            <v>9.3991999536684592</v>
          </cell>
        </row>
        <row r="9">
          <cell r="C9" t="str">
            <v>Geldmarktfonds</v>
          </cell>
          <cell r="D9">
            <v>892.34299999999996</v>
          </cell>
          <cell r="E9">
            <v>38315</v>
          </cell>
          <cell r="F9">
            <v>46500</v>
          </cell>
          <cell r="G9">
            <v>52.110007026446112</v>
          </cell>
          <cell r="I9">
            <v>52.110007026446112</v>
          </cell>
          <cell r="K9">
            <v>46500</v>
          </cell>
          <cell r="L9">
            <v>0</v>
          </cell>
          <cell r="M9">
            <v>0</v>
          </cell>
          <cell r="N9">
            <v>0</v>
          </cell>
        </row>
        <row r="10">
          <cell r="C10" t="str">
            <v>IKB-Belegs.</v>
          </cell>
          <cell r="D10">
            <v>100</v>
          </cell>
          <cell r="F10">
            <v>2126</v>
          </cell>
          <cell r="G10">
            <v>21.26</v>
          </cell>
          <cell r="I10" t="str">
            <v/>
          </cell>
          <cell r="J10" t="str">
            <v/>
          </cell>
          <cell r="K10">
            <v>2126</v>
          </cell>
          <cell r="L10">
            <v>0</v>
          </cell>
          <cell r="M10">
            <v>0</v>
          </cell>
          <cell r="N10" t="str">
            <v/>
          </cell>
        </row>
        <row r="11"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</row>
        <row r="12"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  <row r="14"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</row>
        <row r="15"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</row>
        <row r="16"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</row>
        <row r="17">
          <cell r="I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</row>
        <row r="18"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  <sheetName val="Rang"/>
      <sheetName val="dlgInfo"/>
      <sheetName val="modTest"/>
    </sheetNames>
    <sheetDataSet>
      <sheetData sheetId="0"/>
      <sheetData sheetId="1">
        <row r="1">
          <cell r="A1">
            <v>1</v>
          </cell>
          <cell r="B1" t="str">
            <v>Norbert Hetterich</v>
          </cell>
          <cell r="C1" t="str">
            <v>junohett@t-online.de</v>
          </cell>
          <cell r="D1" t="str">
            <v>Germany</v>
          </cell>
          <cell r="E1">
            <v>36240.018750000003</v>
          </cell>
          <cell r="F1" t="str">
            <v>=FLOOR(DAY(MINUTE(J/38)/2+56)&amp;"/5/"&amp;J,7)-34</v>
          </cell>
          <cell r="G1">
            <v>43</v>
          </cell>
          <cell r="H1" t="str">
            <v>=DM((TAG(MINUTE(J/38)/2+55)&amp;".4."&amp;J)/7;)*7-6</v>
          </cell>
          <cell r="I1">
            <v>44</v>
          </cell>
          <cell r="J1">
            <v>36254</v>
          </cell>
        </row>
        <row r="2">
          <cell r="A2">
            <v>2</v>
          </cell>
          <cell r="B2" t="str">
            <v>Thomas Jansen</v>
          </cell>
          <cell r="C2" t="str">
            <v>Jansen.Thomas@t-online.de</v>
          </cell>
          <cell r="D2" t="str">
            <v>Germany</v>
          </cell>
          <cell r="E2">
            <v>36245.890277777777</v>
          </cell>
          <cell r="F2" t="str">
            <v>=DOLLAR(("4/"&amp;J)/7+MOD(19*MOD(J,19)-7,30)*14%,)*7-6</v>
          </cell>
          <cell r="G2">
            <v>51</v>
          </cell>
          <cell r="H2" t="str">
            <v>=DM(("4/"&amp;J)/7+REST(19*REST(J;19)-7;30)*14%;)*7-6</v>
          </cell>
          <cell r="I2">
            <v>49</v>
          </cell>
          <cell r="J2">
            <v>36254</v>
          </cell>
        </row>
        <row r="3">
          <cell r="A3">
            <v>3</v>
          </cell>
          <cell r="B3" t="str">
            <v>Roger Friederich</v>
          </cell>
          <cell r="C3" t="str">
            <v>rfr@gmx.net</v>
          </cell>
          <cell r="D3" t="str">
            <v>Germany</v>
          </cell>
          <cell r="E3">
            <v>36202.726388888892</v>
          </cell>
          <cell r="F3" t="str">
            <v>=FLOOR(DATE(J,3,MOD(18.37*MOD(J,19)-6,29)),7)+29</v>
          </cell>
          <cell r="G3">
            <v>48</v>
          </cell>
          <cell r="H3" t="str">
            <v>=DM(DATUM(J;4;REST(18,37*REST(J;19)-5;29))/7;)*7-6</v>
          </cell>
          <cell r="I3">
            <v>50</v>
          </cell>
          <cell r="J3">
            <v>36254</v>
          </cell>
        </row>
        <row r="4">
          <cell r="A4">
            <v>4</v>
          </cell>
          <cell r="B4" t="str">
            <v>Christoph Kremer</v>
          </cell>
          <cell r="C4" t="str">
            <v>Christoph.Kremer@gmx.net</v>
          </cell>
          <cell r="D4" t="str">
            <v>Germany</v>
          </cell>
          <cell r="E4">
            <v>36195.292361111111</v>
          </cell>
          <cell r="F4" t="str">
            <v>=TRUNC(DATE(J,3,MOD(349*MOD(J/19,1)-6,29))/7)*7+29</v>
          </cell>
          <cell r="G4">
            <v>50</v>
          </cell>
          <cell r="H4" t="str">
            <v>=DM(DATUM(J;5;-REST(6-349*REST(J/19;1);29))/7;0)*7-6</v>
          </cell>
          <cell r="I4">
            <v>52</v>
          </cell>
          <cell r="J4">
            <v>36254</v>
          </cell>
        </row>
        <row r="5">
          <cell r="A5">
            <v>5</v>
          </cell>
          <cell r="B5" t="str">
            <v>Dr. Heiner Lichtenberg</v>
          </cell>
          <cell r="C5" t="str">
            <v>Heiner.Lichtenberg@bmf.bund.de</v>
          </cell>
          <cell r="D5" t="str">
            <v>Germany</v>
          </cell>
          <cell r="E5">
            <v>36186.317361111112</v>
          </cell>
          <cell r="F5" t="str">
            <v>=7*TRUNC(DATE(J,3,MOD(18.37*MOD(J,19)-6,29))/7)+29</v>
          </cell>
          <cell r="G5">
            <v>50</v>
          </cell>
          <cell r="H5" t="str">
            <v>=7*KÜRZEN(DATUM(J;3;REST(18,37*REST(J;19)-6;29))/7)+29</v>
          </cell>
          <cell r="I5">
            <v>54</v>
          </cell>
          <cell r="J5">
            <v>36254</v>
          </cell>
        </row>
        <row r="6">
          <cell r="A6">
            <v>6</v>
          </cell>
          <cell r="B6" t="str">
            <v>Klaus Claussen</v>
          </cell>
          <cell r="C6" t="str">
            <v>t.claussen@fh-westkueste.de</v>
          </cell>
          <cell r="D6" t="str">
            <v>Germany</v>
          </cell>
          <cell r="E6">
            <v>36247.838888888888</v>
          </cell>
          <cell r="F6" t="str">
            <v>=29+7*TRUNC(DATE(J,3,MOD(19*MOD(J,19)-6,30)*96%)/7)</v>
          </cell>
          <cell r="G6">
            <v>51</v>
          </cell>
          <cell r="H6" t="str">
            <v>=29+7*KÜRZEN(DATUM(J;3;REST(19*REST(J;19)-6;30)*96%)/7)</v>
          </cell>
          <cell r="I6">
            <v>55</v>
          </cell>
          <cell r="J6">
            <v>36254</v>
          </cell>
        </row>
        <row r="7">
          <cell r="A7">
            <v>7</v>
          </cell>
          <cell r="B7" t="str">
            <v>Gustav Graf</v>
          </cell>
          <cell r="C7" t="str">
            <v>Gustave@gmx.net</v>
          </cell>
          <cell r="D7" t="str">
            <v>Austria</v>
          </cell>
          <cell r="E7">
            <v>36219.932638888888</v>
          </cell>
          <cell r="F7" t="str">
            <v>=TRUNC(DATE(J,4,MOD(19*MOD(J,19)-6,30)*96%-3)/7)*7+1</v>
          </cell>
          <cell r="G7">
            <v>52</v>
          </cell>
          <cell r="H7" t="str">
            <v>=KÜRZEN(DATUM(J;4;REST(19*REST(J;19)-6;30)*96%-3)/7)*7+1</v>
          </cell>
          <cell r="I7">
            <v>56</v>
          </cell>
          <cell r="J7">
            <v>36254</v>
          </cell>
        </row>
        <row r="8">
          <cell r="A8">
            <v>8</v>
          </cell>
          <cell r="B8" t="str">
            <v>Laurent Longre</v>
          </cell>
          <cell r="C8" t="str">
            <v>longre@wanadoo.fr</v>
          </cell>
          <cell r="D8" t="str">
            <v>France</v>
          </cell>
          <cell r="E8">
            <v>36181.878472222219</v>
          </cell>
          <cell r="F8" t="str">
            <v>=INT(FLOOR("3/5/"&amp;J,29.5311)/7-(MOD(J,95)=81))*7-6</v>
          </cell>
          <cell r="G8">
            <v>50</v>
          </cell>
          <cell r="H8" t="str">
            <v>=KÜRZEN(UNTERGRENZE("3/5/"&amp;J;29,5311)/7-(REST(J;95)=81))*7-6</v>
          </cell>
          <cell r="I8">
            <v>60</v>
          </cell>
          <cell r="J8">
            <v>36254</v>
          </cell>
        </row>
        <row r="9">
          <cell r="A9">
            <v>9</v>
          </cell>
          <cell r="B9" t="str">
            <v>Robert Wieland</v>
          </cell>
          <cell r="C9" t="str">
            <v>r.wieland@gmx.de</v>
          </cell>
          <cell r="D9" t="str">
            <v>Germany</v>
          </cell>
          <cell r="E9">
            <v>36185.099305555559</v>
          </cell>
          <cell r="F9" t="str">
            <v>=CEILING(("17.4."&amp;J)-TRUNC(MOD(11*MOD(J,19)+5,30)-1.5),7)+1</v>
          </cell>
          <cell r="G9">
            <v>59</v>
          </cell>
          <cell r="H9" t="str">
            <v>=OBERGRENZE(("17.4."&amp;J)-KÜRZEN(REST(11*REST(J;19)+5;30)-1,5);7)+1</v>
          </cell>
          <cell r="I9">
            <v>65</v>
          </cell>
          <cell r="J9">
            <v>36254</v>
          </cell>
        </row>
        <row r="10">
          <cell r="A10">
            <v>10</v>
          </cell>
          <cell r="B10" t="str">
            <v>Prasad DV</v>
          </cell>
          <cell r="C10" t="str">
            <v>prasadv@md2.vsnl.net.in</v>
          </cell>
          <cell r="D10" t="str">
            <v>India</v>
          </cell>
          <cell r="E10">
            <v>36183.468055555553</v>
          </cell>
          <cell r="F10" t="str">
            <v>=TRUNC(DATE(J,7,-CODE(MID("NYDQ\JT_LWBOZER]KU`",MOD(J,19)+1,1)))/7)*7+8</v>
          </cell>
          <cell r="G10">
            <v>71</v>
          </cell>
          <cell r="H10" t="str">
            <v>=KÜRZEN(DATUM(J;7;-CODE(TEIL("NYDQ\JT_LWBOZER]KU`";REST(J;19)+1;1)))/7)*7+8</v>
          </cell>
          <cell r="I10">
            <v>75</v>
          </cell>
          <cell r="J10">
            <v>36254</v>
          </cell>
        </row>
        <row r="11">
          <cell r="A11">
            <v>11</v>
          </cell>
          <cell r="B11" t="str">
            <v>Birk Baumbach</v>
          </cell>
          <cell r="C11" t="str">
            <v>BBaumbach@dual-zentrum.de</v>
          </cell>
          <cell r="D11" t="str">
            <v>Germany</v>
          </cell>
          <cell r="E11">
            <v>36178.419444444444</v>
          </cell>
          <cell r="F11" t="str">
            <v>=CEILING(DATE(J,4,20)-MOD(6+11*MOD(J,19),30)-(MOD(6+11*MOD(J,19),30)&lt;3),7)+1</v>
          </cell>
          <cell r="G11">
            <v>76</v>
          </cell>
          <cell r="H11" t="str">
            <v>=OBERGRENZE(DATUM(J;4;20)-REST(6+11*REST(J;19);30)-(REST(6+11*REST(J;19);30)&lt;3);7)+1</v>
          </cell>
          <cell r="I11">
            <v>84</v>
          </cell>
          <cell r="J11">
            <v>36254</v>
          </cell>
        </row>
        <row r="12">
          <cell r="A12">
            <v>12</v>
          </cell>
          <cell r="B12" t="str">
            <v>Michael Schwimmer</v>
          </cell>
          <cell r="C12" t="str">
            <v>schwimmer@t-online.de</v>
          </cell>
          <cell r="D12" t="str">
            <v>Germany</v>
          </cell>
          <cell r="E12">
            <v>36178.678472222222</v>
          </cell>
          <cell r="F12" t="str">
            <v>=ROUNDUP((("21.3."&amp;J)+MOD(204-11*MOD(J,19),30))/7-(ABS(ABS(J-2015)-47.5)=13.5),)*7+1</v>
          </cell>
          <cell r="G12">
            <v>84</v>
          </cell>
          <cell r="H12" t="str">
            <v>=AUFRUNDEN((("21.3."&amp;J)+REST(204-11*REST(J;19);30))/7-(ABS(ABS(J-2015)-47,5)=13,5);)*7+1</v>
          </cell>
          <cell r="I12">
            <v>88</v>
          </cell>
          <cell r="J12">
            <v>36254</v>
          </cell>
        </row>
        <row r="13">
          <cell r="A13">
            <v>13</v>
          </cell>
          <cell r="B13" t="str">
            <v>Franz Riesel</v>
          </cell>
          <cell r="C13" t="str">
            <v>f_riesel@styria.com</v>
          </cell>
          <cell r="D13" t="str">
            <v>Austria</v>
          </cell>
          <cell r="E13">
            <v>36198.283333333333</v>
          </cell>
          <cell r="F13" t="str">
            <v>=7*TRUNC((MOD(MOD(J,19)*19-6,30)+365.25*J-693881)/7)-IF(OR(J=1950+{4;31;99;126}),7)-6</v>
          </cell>
          <cell r="G13">
            <v>85</v>
          </cell>
          <cell r="H13" t="str">
            <v>=7*KÜRZEN((REST(REST(J;19)*19-6;30)+365,25*J-693881)/7)-WENN(ODER(J=1950+{4;31;99;126});7)-6</v>
          </cell>
          <cell r="I13">
            <v>92</v>
          </cell>
          <cell r="J13">
            <v>36254</v>
          </cell>
        </row>
        <row r="14">
          <cell r="A14">
            <v>14</v>
          </cell>
          <cell r="B14" t="str">
            <v>Stephen Bullen</v>
          </cell>
          <cell r="C14" t="str">
            <v>Stephen@BMSLtd.co.uk</v>
          </cell>
          <cell r="D14" t="str">
            <v>GB</v>
          </cell>
          <cell r="E14">
            <v>36168.420138888891</v>
          </cell>
          <cell r="F14" t="str">
            <v>=DATE(J,3,28)+MOD(24-MOD(J,19)*10.63,29)-MOD(TRUNC(J*5/4)+MOD(24-MOD(J,19)*10.63,29)+1,7)</v>
          </cell>
          <cell r="G14">
            <v>89</v>
          </cell>
          <cell r="H14" t="str">
            <v>=DATUM(J;3;28)+REST(24-REST(J;19)*10,63;29)-REST(KÜRZEN(J*5/4)+REST(24-REST(J;19)*10,63;29)+1;7)</v>
          </cell>
          <cell r="I14">
            <v>96</v>
          </cell>
          <cell r="J14">
            <v>36254</v>
          </cell>
        </row>
        <row r="15">
          <cell r="A15">
            <v>15</v>
          </cell>
          <cell r="B15" t="str">
            <v>Gerhard Somitsch</v>
          </cell>
          <cell r="C15" t="str">
            <v>gerhard.somitsch@datasystems.at</v>
          </cell>
          <cell r="D15" t="str">
            <v>Austria</v>
          </cell>
          <cell r="E15">
            <v>36168.756249999999</v>
          </cell>
          <cell r="F15" t="str">
            <v>=DATE(J,3,29.56+0.979*MOD(204-11*MOD(J,19),30)-WEEKDAY(DATE(J,3,28.56+0.979*MOD(204-11*MOD(J,19),30))))</v>
          </cell>
          <cell r="G15">
            <v>103</v>
          </cell>
          <cell r="H15" t="str">
            <v>=DATUM(J;3;29,56+0,979*REST(204-11*REST(J;19);30)-WOCHENTAG(DATUM(J;3;28,56+0,979*REST(204-11*REST(J;19);30))))</v>
          </cell>
          <cell r="I15">
            <v>111</v>
          </cell>
          <cell r="J15">
            <v>36254</v>
          </cell>
        </row>
        <row r="16">
          <cell r="A16">
            <v>16</v>
          </cell>
          <cell r="B16" t="str">
            <v>Norbert Heintze</v>
          </cell>
          <cell r="C16" t="str">
            <v>Norbert_Heintze@t-online.de</v>
          </cell>
          <cell r="D16" t="str">
            <v>Germany</v>
          </cell>
          <cell r="E16">
            <v>36254.776388888888</v>
          </cell>
          <cell r="F16" t="str">
            <v>=DATE(J,3,28+MOD(204-11*MOD(J,19),30))-MOD(DATE(J,3,6+MOD(204-11*MOD(J,19),30)),7)-IF(OR(J=1954,J=1981,J=2049,J=2076),7)</v>
          </cell>
          <cell r="G16">
            <v>120</v>
          </cell>
          <cell r="H16" t="str">
            <v>=DATUM(J;3;28+REST(204-11*REST(J;19);30))-REST(DATUM(J;3;6+REST(204-11*REST(J;19);30));7)-WENN(ODER(J=1954;J=1981;J=2049;J=2076);7)</v>
          </cell>
          <cell r="I16">
            <v>131</v>
          </cell>
          <cell r="J16">
            <v>36254</v>
          </cell>
        </row>
        <row r="17">
          <cell r="A17">
            <v>17</v>
          </cell>
          <cell r="B17" t="str">
            <v>Thomas Jacob</v>
          </cell>
          <cell r="C17" t="str">
            <v>tjacob@haso.de</v>
          </cell>
          <cell r="D17" t="str">
            <v>Germany</v>
          </cell>
          <cell r="E17">
            <v>36167.109027777777</v>
          </cell>
          <cell r="F17" t="str">
            <v>=TRUNC(365.25*J-693894)+IF(OR(J=1954,J=1981,J=2049,J=2076),,7)+MOD(24-11*MOD(J,19),30)-MOD(J+TRUNC(J/4)+MOD(24-11*MOD(J,19),30)+1,7)</v>
          </cell>
          <cell r="G17">
            <v>132</v>
          </cell>
          <cell r="H17" t="str">
            <v>=KÜRZEN(365,25*J-693894)+WENN(ODER(J=1954;J=1981;J=2049;J=2076);;7)+REST(24-11*REST(J;19);30)-REST(J+KÜRZEN(J/4)+REST(24-11*REST(J;19);30)+1;7)</v>
          </cell>
          <cell r="I17">
            <v>143</v>
          </cell>
          <cell r="J17">
            <v>36254</v>
          </cell>
        </row>
        <row r="18">
          <cell r="A18">
            <v>18</v>
          </cell>
          <cell r="B18" t="str">
            <v>Daniel Wagner</v>
          </cell>
          <cell r="C18" t="str">
            <v>dwagner@bMAN.ch</v>
          </cell>
          <cell r="D18" t="str">
            <v>Suiss</v>
          </cell>
          <cell r="E18">
            <v>36186.864583333336</v>
          </cell>
          <cell r="F18" t="str">
            <v>=DATE(J,4,MOD(24-11*MOD(J,19),30)-MOD(1+INT(J*5/4)+MOD(24-11*MOD(J,19),30)-(MOD(24-11*MOD(J,19),30)&gt;27),7)-(MOD(24-11*MOD(J,19),30)&gt;27)-3)</v>
          </cell>
          <cell r="G18">
            <v>138</v>
          </cell>
          <cell r="H18" t="str">
            <v>=DATUM(J;4;REST(24-11*REST(J;19);30)-REST(1+GANZZAHL(J*5/4)+REST(24-11*REST(J;19);30)-(REST(24-11*REST(J;19);30)&gt;27);7)-(REST(24-11*REST(J;19);30)&gt;27)-3)</v>
          </cell>
          <cell r="I18">
            <v>153</v>
          </cell>
          <cell r="J18">
            <v>36254</v>
          </cell>
        </row>
        <row r="19">
          <cell r="A19">
            <v>19</v>
          </cell>
          <cell r="B19" t="str">
            <v>Chip Pearson</v>
          </cell>
          <cell r="C19" t="str">
            <v>cpearson@gvi.net</v>
          </cell>
          <cell r="D19" t="str">
            <v>USA</v>
          </cell>
          <cell r="E19">
            <v>36164.000694444447</v>
          </cell>
          <cell r="F19" t="str">
            <v>=DATE(J,3,28)+MOD(24-11*MOD(J,19),30)-(MOD(24-11*MOD(J,19),30)&gt;27)-MOD(INT(5*J/4)+1+MOD(24-11*MOD(J,19),30)-(MOD(24-11*MOD(J,19),30)&gt;27),7)</v>
          </cell>
          <cell r="G19">
            <v>139</v>
          </cell>
          <cell r="H19" t="str">
            <v>=DATUM(J;3;28)+REST(24-11*REST(J;19);30)-(REST(24-11*REST(J;19);30)&gt;27)-REST(GANZZAHL(5*J/4)+1+REST(24-11*REST(J;19);30)-(REST(24-11*REST(J;19);30)&gt;27);7)</v>
          </cell>
          <cell r="I19">
            <v>154</v>
          </cell>
          <cell r="J19">
            <v>36254</v>
          </cell>
        </row>
        <row r="20">
          <cell r="A20">
            <v>20</v>
          </cell>
          <cell r="B20" t="str">
            <v>George Simms</v>
          </cell>
          <cell r="C20" t="str">
            <v>GeorgeSim@email.msn.com</v>
          </cell>
          <cell r="D20" t="str">
            <v>GB</v>
          </cell>
          <cell r="E20">
            <v>36184.532638888886</v>
          </cell>
          <cell r="F20" t="str">
            <v>=DATE(J,3,28)+MOD(24+19*MOD(J,19),30)-(MOD(24+19*MOD(J,19),30)&gt;27)-MOD(INT(J+J/4)+MOD(24+19*MOD(J,19),30)-(MOD(24+19*MOD(J,19),30)&gt;27)+1,7)</v>
          </cell>
          <cell r="G20">
            <v>139</v>
          </cell>
          <cell r="H20" t="str">
            <v>=DATUM(J;3;28)+REST(24+19*REST(J;19);30)-(REST(24+19*REST(J;19);30)&gt;27)-REST(GANZZAHL(J+J/4)+REST(24+19*REST(J;19);30)-(REST(24+19*REST(J;19);30)&gt;27)+1;7)</v>
          </cell>
          <cell r="I20">
            <v>154</v>
          </cell>
          <cell r="J20">
            <v>36254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>
    <outlinePr showOutlineSymbols="0"/>
  </sheetPr>
  <dimension ref="A1:P33"/>
  <sheetViews>
    <sheetView showGridLines="0" tabSelected="1" showOutlineSymbols="0" topLeftCell="F1" zoomScale="120" workbookViewId="0">
      <selection activeCell="G6" sqref="G6"/>
    </sheetView>
  </sheetViews>
  <sheetFormatPr baseColWidth="10" defaultColWidth="11.44140625" defaultRowHeight="13.8" outlineLevelCol="1" x14ac:dyDescent="0.25"/>
  <cols>
    <col min="1" max="1" width="4.88671875" style="1" hidden="1" customWidth="1" outlineLevel="1"/>
    <col min="2" max="2" width="9.88671875" style="2" hidden="1" customWidth="1" outlineLevel="1"/>
    <col min="3" max="3" width="8.109375" style="1" hidden="1" customWidth="1" outlineLevel="1"/>
    <col min="4" max="4" width="20" style="1" hidden="1" customWidth="1" outlineLevel="1"/>
    <col min="5" max="5" width="6.33203125" style="1" hidden="1" customWidth="1" outlineLevel="1"/>
    <col min="6" max="6" width="3.33203125" style="1" customWidth="1" collapsed="1"/>
    <col min="7" max="7" width="14.109375" style="3" customWidth="1"/>
    <col min="8" max="8" width="1.33203125" style="4" customWidth="1"/>
    <col min="9" max="9" width="12.77734375" style="1" customWidth="1"/>
    <col min="10" max="10" width="12.33203125" style="1" customWidth="1"/>
    <col min="11" max="11" width="14.109375" style="5" customWidth="1"/>
    <col min="12" max="12" width="11.44140625" style="1"/>
    <col min="13" max="13" width="8" style="4" customWidth="1"/>
    <col min="14" max="14" width="14.5546875" style="29" customWidth="1"/>
    <col min="15" max="16384" width="11.44140625" style="1"/>
  </cols>
  <sheetData>
    <row r="1" spans="1:16" x14ac:dyDescent="0.25">
      <c r="N1" s="6"/>
    </row>
    <row r="2" spans="1:16" ht="17.399999999999999" x14ac:dyDescent="0.3">
      <c r="E2" s="7">
        <f>IF(F2=0,0,LEFT(F2,4))</f>
        <v>0</v>
      </c>
      <c r="F2" s="31"/>
      <c r="G2" s="8" t="str">
        <f>IF(E2="EURO",IF(LEN(F2)=4,"EURO-Geldmengenminimierung",F2),IF(E2=0,"Stückzahl - Minimierung",F2))</f>
        <v>Stückzahl - Minimierung</v>
      </c>
      <c r="H2" s="9"/>
      <c r="L2" s="10"/>
      <c r="N2"/>
    </row>
    <row r="3" spans="1:16" x14ac:dyDescent="0.25">
      <c r="F3" s="11"/>
      <c r="G3" s="12"/>
      <c r="H3" s="13"/>
      <c r="I3" s="13"/>
      <c r="J3" s="13"/>
      <c r="K3" s="14"/>
      <c r="L3" s="15"/>
      <c r="M3" s="13"/>
      <c r="N3"/>
    </row>
    <row r="4" spans="1:16" x14ac:dyDescent="0.25">
      <c r="F4" s="11"/>
      <c r="G4" s="12"/>
      <c r="H4" s="13"/>
      <c r="I4" s="13"/>
      <c r="J4" s="13"/>
      <c r="K4" s="14"/>
      <c r="L4" s="15"/>
      <c r="M4" s="13"/>
      <c r="N4"/>
    </row>
    <row r="5" spans="1:16" x14ac:dyDescent="0.25">
      <c r="H5" s="1"/>
      <c r="L5" s="37" t="str">
        <f>IF(AND(L6&lt;&gt;0,E2="Euro"),"Euro dominiert","Stückelung")</f>
        <v>Stückelung</v>
      </c>
      <c r="N5" s="39" t="s">
        <v>0</v>
      </c>
      <c r="P5" s="38" t="str">
        <f>IF(F$2="Euro","Euro-Stückelung","")</f>
        <v/>
      </c>
    </row>
    <row r="6" spans="1:16" x14ac:dyDescent="0.25">
      <c r="G6" s="16">
        <v>2464</v>
      </c>
      <c r="H6" s="1"/>
      <c r="I6" s="1" t="str">
        <f>IF(E2&lt;&gt;"Euro",SUM(G9:G28)&amp;" Stück",IF(B30=0,"",IF(B30=1,"ein Schein",B30&amp;" Scheine"))&amp;IF(AND(B30&gt;0,C30&gt;0),"; ","")&amp;IF(C30=0,"",IF(C30=1,"eine Münze",C30&amp;" Münzen")))</f>
        <v>12 Stück</v>
      </c>
      <c r="K6" s="33" t="str">
        <f>IF(AND(E$2&lt;&gt;"Euro",L6=0),"keine Lücken","")</f>
        <v/>
      </c>
      <c r="L6" s="17">
        <v>1000</v>
      </c>
      <c r="M6" s="4" t="str">
        <f>IF(E2="Euro","","Größte")</f>
        <v>Größte</v>
      </c>
      <c r="N6" s="40">
        <f>SUMPRODUCT(G9:G15,I9:I15)</f>
        <v>2464</v>
      </c>
      <c r="P6" s="32" t="str">
        <f>IF(F$2="Euro",500,"")</f>
        <v/>
      </c>
    </row>
    <row r="7" spans="1:16" x14ac:dyDescent="0.25">
      <c r="G7" s="18" t="str">
        <f>IF(E2="Euro",IF(ROUND(MOD(G6/B23,1),2)&lt;&gt;0,"Die kleinste Münze ist ein Cent !",""),IF(ROUND(MOD(G6/INDEX(L6:L25,MAX(M7:M25)),1),2)&lt;&gt;0,"Die kleinste Stückelung ist nicht klein genug !",""))</f>
        <v/>
      </c>
      <c r="K7" s="33" t="str">
        <f t="shared" ref="K7:K24" si="0">IF(AND(E$2&lt;&gt;"Euro",L7=0,L8&lt;&gt;0),"keine Lücken","")</f>
        <v/>
      </c>
      <c r="L7" s="17">
        <v>500</v>
      </c>
      <c r="M7" s="19">
        <f>IF(E$2="Euro","",2)</f>
        <v>2</v>
      </c>
      <c r="N7"/>
      <c r="O7"/>
      <c r="P7" s="32" t="str">
        <f>IF(F$2="Euro",200,"")</f>
        <v/>
      </c>
    </row>
    <row r="8" spans="1:16" x14ac:dyDescent="0.25">
      <c r="B8" s="20"/>
      <c r="C8" s="21"/>
      <c r="G8" s="3" t="s">
        <v>1</v>
      </c>
      <c r="K8" s="33" t="str">
        <f t="shared" si="0"/>
        <v/>
      </c>
      <c r="L8" s="17">
        <v>100</v>
      </c>
      <c r="M8" s="19">
        <f t="shared" ref="M8:M25" si="1">IF(OR(E$2="Euro",L8=0),"",M7+1)</f>
        <v>3</v>
      </c>
      <c r="N8"/>
      <c r="O8"/>
      <c r="P8" s="32" t="str">
        <f>IF(F$2="Euro",100,"")</f>
        <v/>
      </c>
    </row>
    <row r="9" spans="1:16" x14ac:dyDescent="0.25">
      <c r="A9" s="22">
        <f>IF(C9&gt;0,MAX(A$8:A8)+1,"")</f>
        <v>1</v>
      </c>
      <c r="B9" s="23">
        <f>IF(E$2="EURO",500,L6)</f>
        <v>1000</v>
      </c>
      <c r="C9" s="24">
        <f>INT(ROUND((G$6-SUMPRODUCT(C$7:C8,B$7:B8))/B9,5))</f>
        <v>2</v>
      </c>
      <c r="D9" s="7">
        <f>IF(C9=0,"",IF(E2="DM","Tausender",B9))</f>
        <v>1000</v>
      </c>
      <c r="E9" s="1">
        <v>1</v>
      </c>
      <c r="G9" s="3">
        <f t="shared" ref="G9:G28" si="2">IF(E9&gt;MAX(A$9:A$28),"",INDEX($C$9:$C$28,MATCH(E9,$A$9:$A$28,0)))</f>
        <v>2</v>
      </c>
      <c r="I9" s="25">
        <f t="shared" ref="I9:I28" si="3">IF(E9&gt;MAX(A$9:A$28),"",INDEX($D$9:$D$28,MATCH(E9,$A$9:$A$28,0)))</f>
        <v>1000</v>
      </c>
      <c r="J9" s="22" t="str">
        <f>IF(OR(E2&lt;&gt;"Euro",B31+C31=0),"",IF(B31=0,"Münzen","Scheine"))</f>
        <v/>
      </c>
      <c r="K9" s="33" t="str">
        <f t="shared" si="0"/>
        <v/>
      </c>
      <c r="L9" s="17">
        <v>50</v>
      </c>
      <c r="M9" s="19">
        <f t="shared" si="1"/>
        <v>4</v>
      </c>
      <c r="N9"/>
      <c r="O9"/>
      <c r="P9" s="32" t="str">
        <f>IF(F$2="Euro",50,"")</f>
        <v/>
      </c>
    </row>
    <row r="10" spans="1:16" x14ac:dyDescent="0.25">
      <c r="A10" s="22" t="str">
        <f>IF(C10&gt;0,MAX(A$8:A9)+1,"")</f>
        <v/>
      </c>
      <c r="B10" s="23">
        <f>IF(E$2="EURO",200,IF(L7=0,0.000000001,L7))</f>
        <v>500</v>
      </c>
      <c r="C10" s="24">
        <f>INT(ROUND((G$6-SUMPRODUCT(C$7:C9,B$7:B9))/B10,5))</f>
        <v>0</v>
      </c>
      <c r="D10" s="7" t="str">
        <f>IF(C10=0,"",IF(E2="DM","Fünfhunderter",B10))</f>
        <v/>
      </c>
      <c r="E10" s="1">
        <v>2</v>
      </c>
      <c r="G10" s="3">
        <f t="shared" si="2"/>
        <v>4</v>
      </c>
      <c r="I10" s="25">
        <f t="shared" si="3"/>
        <v>100</v>
      </c>
      <c r="J10" s="22" t="str">
        <f t="shared" ref="J10:J17" si="4">IF(OR(B$31=0,C$31=0,B$31&lt;&gt;E9,E$2&lt;&gt;"Euro"),"","Münzen")</f>
        <v/>
      </c>
      <c r="K10" s="33" t="str">
        <f t="shared" si="0"/>
        <v/>
      </c>
      <c r="L10" s="17">
        <v>10</v>
      </c>
      <c r="M10" s="19">
        <f t="shared" si="1"/>
        <v>5</v>
      </c>
      <c r="N10"/>
      <c r="O10" s="35"/>
      <c r="P10" s="32" t="str">
        <f>IF(F$2="Euro",20,"")</f>
        <v/>
      </c>
    </row>
    <row r="11" spans="1:16" x14ac:dyDescent="0.25">
      <c r="A11" s="22">
        <f>IF(C11&gt;0,MAX(A$8:A10)+1,"")</f>
        <v>2</v>
      </c>
      <c r="B11" s="23">
        <f>IF(E$2="EURO",100,IF(L8=0,0.000000001,L8))</f>
        <v>100</v>
      </c>
      <c r="C11" s="24">
        <f>INT(ROUND((G$6-SUMPRODUCT(C$7:C10,B$7:B10))/B11,5))</f>
        <v>4</v>
      </c>
      <c r="D11" s="7">
        <f>IF(C11=0,"",IF(E2="DM","Zweihunderter",B11))</f>
        <v>100</v>
      </c>
      <c r="E11" s="1">
        <v>3</v>
      </c>
      <c r="G11" s="3">
        <f t="shared" si="2"/>
        <v>1</v>
      </c>
      <c r="I11" s="25">
        <f t="shared" si="3"/>
        <v>50</v>
      </c>
      <c r="J11" s="22" t="str">
        <f t="shared" si="4"/>
        <v/>
      </c>
      <c r="K11" s="33" t="str">
        <f t="shared" si="0"/>
        <v/>
      </c>
      <c r="L11" s="17">
        <v>5</v>
      </c>
      <c r="M11" s="19">
        <f t="shared" si="1"/>
        <v>6</v>
      </c>
      <c r="N11"/>
      <c r="O11"/>
      <c r="P11" s="32" t="str">
        <f>IF(F$2="Euro",10,"")</f>
        <v/>
      </c>
    </row>
    <row r="12" spans="1:16" x14ac:dyDescent="0.25">
      <c r="A12" s="22">
        <f>IF(C12&gt;0,MAX(A$8:A11)+1,"")</f>
        <v>3</v>
      </c>
      <c r="B12" s="23">
        <f>IF(E$2="EURO",50,IF(L9=0,0.000000001,L9))</f>
        <v>50</v>
      </c>
      <c r="C12" s="24">
        <f>INT(ROUND((G$6-SUMPRODUCT(C$7:C11,B$7:B11))/B12,5))</f>
        <v>1</v>
      </c>
      <c r="D12" s="7">
        <f>IF(C12=0,"",IF(E$2="DM","Hunderter",B12))</f>
        <v>50</v>
      </c>
      <c r="E12" s="1">
        <v>4</v>
      </c>
      <c r="G12" s="3">
        <f t="shared" si="2"/>
        <v>1</v>
      </c>
      <c r="I12" s="25">
        <f t="shared" si="3"/>
        <v>10</v>
      </c>
      <c r="J12" s="22" t="str">
        <f t="shared" si="4"/>
        <v/>
      </c>
      <c r="K12" s="33" t="str">
        <f t="shared" si="0"/>
        <v/>
      </c>
      <c r="L12" s="17">
        <v>1</v>
      </c>
      <c r="M12" s="19">
        <f t="shared" si="1"/>
        <v>7</v>
      </c>
      <c r="N12"/>
      <c r="O12"/>
      <c r="P12" s="32" t="str">
        <f>IF(F$2="Euro",5,"")</f>
        <v/>
      </c>
    </row>
    <row r="13" spans="1:16" x14ac:dyDescent="0.25">
      <c r="A13" s="22">
        <f>IF(C13&gt;0,MAX(A$8:A12)+1,"")</f>
        <v>4</v>
      </c>
      <c r="B13" s="23">
        <f>IF(E$2="EURO",20,IF(L10=0,0.000000001,L10))</f>
        <v>10</v>
      </c>
      <c r="C13" s="24">
        <f>INT(ROUND((G$6-SUMPRODUCT(C$7:C12,B$7:B12))/B13,5))</f>
        <v>1</v>
      </c>
      <c r="D13" s="7">
        <f>IF(C13=0,"",IF(E$2="DM","Fünfziger",B13))</f>
        <v>10</v>
      </c>
      <c r="E13" s="1">
        <v>5</v>
      </c>
      <c r="G13" s="3">
        <f t="shared" si="2"/>
        <v>4</v>
      </c>
      <c r="I13" s="25">
        <f t="shared" si="3"/>
        <v>1</v>
      </c>
      <c r="J13" s="22" t="str">
        <f t="shared" si="4"/>
        <v/>
      </c>
      <c r="K13" s="33" t="str">
        <f t="shared" si="0"/>
        <v/>
      </c>
      <c r="L13" s="17"/>
      <c r="M13" s="19" t="str">
        <f t="shared" si="1"/>
        <v/>
      </c>
      <c r="N13"/>
      <c r="O13"/>
      <c r="P13" s="32" t="str">
        <f>IF(F$2="Euro",2,"")</f>
        <v/>
      </c>
    </row>
    <row r="14" spans="1:16" x14ac:dyDescent="0.25">
      <c r="A14" s="22" t="str">
        <f>IF(C14&gt;0,MAX(A$8:A13)+1,"")</f>
        <v/>
      </c>
      <c r="B14" s="23">
        <f>IF(E$2="EURO",10,IF(L11=0,0.000000001,L11))</f>
        <v>5</v>
      </c>
      <c r="C14" s="24">
        <f>INT(ROUND((G$6-SUMPRODUCT(C$7:C13,B$7:B13))/B14,5))</f>
        <v>0</v>
      </c>
      <c r="D14" s="7" t="str">
        <f>IF(C14=0,"",IF(E$2="DM","Zwanziger",B14))</f>
        <v/>
      </c>
      <c r="E14" s="1">
        <v>6</v>
      </c>
      <c r="G14" s="3" t="str">
        <f t="shared" si="2"/>
        <v/>
      </c>
      <c r="I14" s="25" t="str">
        <f t="shared" si="3"/>
        <v/>
      </c>
      <c r="J14" s="22" t="str">
        <f t="shared" si="4"/>
        <v/>
      </c>
      <c r="K14" s="33" t="str">
        <f t="shared" si="0"/>
        <v/>
      </c>
      <c r="L14" s="17"/>
      <c r="M14" s="19" t="str">
        <f t="shared" si="1"/>
        <v/>
      </c>
      <c r="N14"/>
      <c r="O14"/>
      <c r="P14" s="32" t="str">
        <f>IF(F$2="Euro",1,"")</f>
        <v/>
      </c>
    </row>
    <row r="15" spans="1:16" x14ac:dyDescent="0.25">
      <c r="A15" s="22">
        <f>IF(C15&gt;0,MAX(A$8:A14)+1,"")</f>
        <v>5</v>
      </c>
      <c r="B15" s="23">
        <f>IF(E$2="EURO",5,IF(L12=0,0.000000001,L12))</f>
        <v>1</v>
      </c>
      <c r="C15" s="24">
        <f>INT(ROUND((G$6-SUMPRODUCT(C$7:C14,B$7:B14))/B15,5))</f>
        <v>4</v>
      </c>
      <c r="D15" s="7">
        <f>IF(C15=0,"",IF(E$2="DM","Zehner",B15))</f>
        <v>1</v>
      </c>
      <c r="E15" s="1">
        <v>7</v>
      </c>
      <c r="G15" s="3" t="str">
        <f t="shared" si="2"/>
        <v/>
      </c>
      <c r="I15" s="25" t="str">
        <f t="shared" si="3"/>
        <v/>
      </c>
      <c r="J15" s="22" t="str">
        <f t="shared" si="4"/>
        <v/>
      </c>
      <c r="K15" s="33" t="str">
        <f t="shared" si="0"/>
        <v/>
      </c>
      <c r="L15" s="26"/>
      <c r="M15" s="19" t="str">
        <f t="shared" si="1"/>
        <v/>
      </c>
      <c r="N15"/>
      <c r="O15"/>
      <c r="P15" s="32" t="str">
        <f>IF(F$2="Euro",0.5,"")</f>
        <v/>
      </c>
    </row>
    <row r="16" spans="1:16" x14ac:dyDescent="0.25">
      <c r="A16" s="1" t="str">
        <f>IF(C16&gt;0,MAX(A$8:A15)+1,"")</f>
        <v/>
      </c>
      <c r="B16" s="23">
        <f>IF(E$2="EURO",2,IF(L13=0,0.000000001,L13))</f>
        <v>1.0000000000000001E-9</v>
      </c>
      <c r="C16" s="27">
        <f>INT(ROUND((G$6-SUMPRODUCT(C$7:C15,B$7:B15))/B16,5))</f>
        <v>0</v>
      </c>
      <c r="D16" s="7" t="str">
        <f>IF(C16=0,"",IF(E$2="DM","Fünfer",B16))</f>
        <v/>
      </c>
      <c r="E16" s="1">
        <v>8</v>
      </c>
      <c r="G16" s="3" t="str">
        <f t="shared" si="2"/>
        <v/>
      </c>
      <c r="I16" s="25" t="str">
        <f t="shared" si="3"/>
        <v/>
      </c>
      <c r="J16" s="22" t="str">
        <f t="shared" si="4"/>
        <v/>
      </c>
      <c r="K16" s="33" t="str">
        <f t="shared" si="0"/>
        <v/>
      </c>
      <c r="L16" s="26"/>
      <c r="M16" s="19" t="str">
        <f t="shared" si="1"/>
        <v/>
      </c>
      <c r="N16"/>
      <c r="O16"/>
      <c r="P16" s="32" t="str">
        <f>IF(F$2="Euro",0.2,"")</f>
        <v/>
      </c>
    </row>
    <row r="17" spans="1:16" x14ac:dyDescent="0.25">
      <c r="A17" s="1" t="str">
        <f>IF(C17&gt;0,MAX(A$8:A16)+1,"")</f>
        <v/>
      </c>
      <c r="B17" s="23">
        <f>IF(E$2="EURO",1,IF(L14=0,0.000000001,L14))</f>
        <v>1.0000000000000001E-9</v>
      </c>
      <c r="C17" s="27">
        <f>INT(ROUND((G$6-SUMPRODUCT(C$7:C16,B$7:B16))/B17,5))</f>
        <v>0</v>
      </c>
      <c r="D17" s="7" t="str">
        <f>IF(C17=0,"",IF(E$2="DM","Zweimarkstück"&amp;IF(C17&gt;1,"e",""),B17))</f>
        <v/>
      </c>
      <c r="E17" s="1">
        <v>9</v>
      </c>
      <c r="G17" s="3" t="str">
        <f t="shared" si="2"/>
        <v/>
      </c>
      <c r="I17" s="25" t="str">
        <f t="shared" si="3"/>
        <v/>
      </c>
      <c r="J17" s="22" t="str">
        <f t="shared" si="4"/>
        <v/>
      </c>
      <c r="K17" s="33" t="str">
        <f t="shared" si="0"/>
        <v/>
      </c>
      <c r="L17" s="26"/>
      <c r="M17" s="19" t="str">
        <f t="shared" si="1"/>
        <v/>
      </c>
      <c r="N17"/>
      <c r="O17"/>
      <c r="P17" s="32" t="str">
        <f>IF(F$2="Euro",0.1,"")</f>
        <v/>
      </c>
    </row>
    <row r="18" spans="1:16" x14ac:dyDescent="0.25">
      <c r="A18" s="1" t="str">
        <f>IF(C18&gt;0,MAX(A$8:A17)+1,"")</f>
        <v/>
      </c>
      <c r="B18" s="23">
        <f>IF(E$2="EURO",0.5,IF(L15=0,0.000000001,L15))</f>
        <v>1.0000000000000001E-9</v>
      </c>
      <c r="C18" s="27">
        <f>INT(ROUND((G$6-SUMPRODUCT(C$7:C17,B$7:B17))/B18,5))</f>
        <v>0</v>
      </c>
      <c r="D18" s="7" t="str">
        <f>IF(C18=0,"",IF(E$2="DM","Markstück",B18))</f>
        <v/>
      </c>
      <c r="E18" s="1">
        <v>10</v>
      </c>
      <c r="G18" s="3" t="str">
        <f t="shared" si="2"/>
        <v/>
      </c>
      <c r="I18" s="25" t="str">
        <f t="shared" si="3"/>
        <v/>
      </c>
      <c r="J18" s="22"/>
      <c r="K18" s="33" t="str">
        <f t="shared" si="0"/>
        <v/>
      </c>
      <c r="L18" s="26"/>
      <c r="M18" s="19" t="str">
        <f t="shared" si="1"/>
        <v/>
      </c>
      <c r="N18"/>
      <c r="O18"/>
      <c r="P18" s="32" t="str">
        <f>IF(F$2="Euro",0.05,"")</f>
        <v/>
      </c>
    </row>
    <row r="19" spans="1:16" x14ac:dyDescent="0.25">
      <c r="A19" s="1" t="str">
        <f>IF(C19&gt;0,MAX(A$8:A18)+1,"")</f>
        <v/>
      </c>
      <c r="B19" s="23">
        <f>IF(E$2="EURO",0.2,IF(L16=0,0.000000001,L16))</f>
        <v>1.0000000000000001E-9</v>
      </c>
      <c r="C19" s="27">
        <f>INT(ROUND((G$6-SUMPRODUCT(C$7:C18,B$7:B18))/B19,5))</f>
        <v>0</v>
      </c>
      <c r="D19" s="7" t="str">
        <f>IF(C19=0,"",IF(E$2="DM","Fünfzigpfennigstück",B19))</f>
        <v/>
      </c>
      <c r="E19" s="1">
        <v>11</v>
      </c>
      <c r="G19" s="3" t="str">
        <f t="shared" si="2"/>
        <v/>
      </c>
      <c r="I19" s="25" t="str">
        <f t="shared" si="3"/>
        <v/>
      </c>
      <c r="J19" s="22"/>
      <c r="K19" s="33" t="str">
        <f t="shared" si="0"/>
        <v/>
      </c>
      <c r="L19" s="26"/>
      <c r="M19" s="19" t="str">
        <f t="shared" si="1"/>
        <v/>
      </c>
      <c r="N19"/>
      <c r="O19"/>
      <c r="P19" s="32" t="str">
        <f>IF(F$2="Euro",0.02,"")</f>
        <v/>
      </c>
    </row>
    <row r="20" spans="1:16" x14ac:dyDescent="0.25">
      <c r="A20" s="1" t="str">
        <f>IF(C20&gt;0,MAX(A$8:A19)+1,"")</f>
        <v/>
      </c>
      <c r="B20" s="23">
        <f>IF(E$2="EURO",0.1,IF(L17=0,0.000000001,L17))</f>
        <v>1.0000000000000001E-9</v>
      </c>
      <c r="C20" s="27">
        <f>INT(ROUND((G$6-SUMPRODUCT(C$7:C19,B$7:B19))/B20,5))</f>
        <v>0</v>
      </c>
      <c r="D20" s="7" t="str">
        <f>IF(C20=0,"",IF(E$2="DM","Groschen",B20))</f>
        <v/>
      </c>
      <c r="E20" s="1">
        <v>12</v>
      </c>
      <c r="G20" s="3" t="str">
        <f t="shared" si="2"/>
        <v/>
      </c>
      <c r="I20" s="25" t="str">
        <f t="shared" si="3"/>
        <v/>
      </c>
      <c r="K20" s="33" t="str">
        <f t="shared" si="0"/>
        <v/>
      </c>
      <c r="L20" s="26"/>
      <c r="M20" s="19" t="str">
        <f t="shared" si="1"/>
        <v/>
      </c>
      <c r="O20"/>
      <c r="P20" s="32" t="str">
        <f>IF(F$2="Euro",0.01,"")</f>
        <v/>
      </c>
    </row>
    <row r="21" spans="1:16" x14ac:dyDescent="0.25">
      <c r="A21" s="1" t="str">
        <f>IF(C21&gt;0,MAX(A$8:A20)+1,"")</f>
        <v/>
      </c>
      <c r="B21" s="23">
        <f>IF(E$2="EURO",0.05,IF(L18=0,0.000000001,L18))</f>
        <v>1.0000000000000001E-9</v>
      </c>
      <c r="C21" s="27">
        <f>INT(ROUND((G$6-SUMPRODUCT(C$7:C20,B$7:B20))/B21,5))</f>
        <v>0</v>
      </c>
      <c r="D21" s="7" t="str">
        <f>IF(C21=0,"",IF(E$2="DM","Fünfpfennigstück",B21))</f>
        <v/>
      </c>
      <c r="E21" s="1">
        <v>13</v>
      </c>
      <c r="G21" s="3" t="str">
        <f t="shared" si="2"/>
        <v/>
      </c>
      <c r="I21" s="25" t="str">
        <f t="shared" si="3"/>
        <v/>
      </c>
      <c r="K21" s="33" t="str">
        <f t="shared" si="0"/>
        <v/>
      </c>
      <c r="L21" s="26"/>
      <c r="M21" s="19" t="str">
        <f t="shared" si="1"/>
        <v/>
      </c>
      <c r="O21"/>
    </row>
    <row r="22" spans="1:16" x14ac:dyDescent="0.25">
      <c r="A22" s="1" t="str">
        <f>IF(C22&gt;0,MAX(A$8:A21)+1,"")</f>
        <v/>
      </c>
      <c r="B22" s="23">
        <f>IF(E$2="EURO",0.02,IF(L19=0,0.000000001,L19))</f>
        <v>1.0000000000000001E-9</v>
      </c>
      <c r="C22" s="27">
        <f>INT(ROUND((G$6-SUMPRODUCT(C$7:C21,B$7:B21))/B22,5))</f>
        <v>0</v>
      </c>
      <c r="D22" s="7" t="str">
        <f>IF(C22=0,"",IF(E$2="DM","Zweipfennigstück"&amp;IF(C22&gt;1,"e",""),B22))</f>
        <v/>
      </c>
      <c r="E22" s="1">
        <v>14</v>
      </c>
      <c r="G22" s="3" t="str">
        <f t="shared" si="2"/>
        <v/>
      </c>
      <c r="I22" s="25" t="str">
        <f t="shared" si="3"/>
        <v/>
      </c>
      <c r="K22" s="33" t="str">
        <f t="shared" si="0"/>
        <v/>
      </c>
      <c r="L22" s="26"/>
      <c r="M22" s="19" t="str">
        <f t="shared" si="1"/>
        <v/>
      </c>
      <c r="N22" s="36"/>
      <c r="O22"/>
    </row>
    <row r="23" spans="1:16" x14ac:dyDescent="0.25">
      <c r="A23" s="1" t="str">
        <f>IF(C23&gt;0,MAX(A$8:A22)+1,"")</f>
        <v/>
      </c>
      <c r="B23" s="23">
        <f>IF(E$2="EURO",0.01,IF(L20=0,0.000000001,L20))</f>
        <v>1.0000000000000001E-9</v>
      </c>
      <c r="C23" s="27">
        <f>INT(ROUND((G$6-SUMPRODUCT(C$7:C22,B$7:B22))/B23,5))</f>
        <v>0</v>
      </c>
      <c r="D23" s="7" t="str">
        <f>IF(C23=0,"",IF(E$2="DM","Pfennig",B23))</f>
        <v/>
      </c>
      <c r="E23" s="1">
        <v>15</v>
      </c>
      <c r="G23" s="3" t="str">
        <f t="shared" si="2"/>
        <v/>
      </c>
      <c r="I23" s="25" t="str">
        <f t="shared" si="3"/>
        <v/>
      </c>
      <c r="K23" s="33" t="str">
        <f t="shared" si="0"/>
        <v/>
      </c>
      <c r="L23" s="26"/>
      <c r="M23" s="19" t="str">
        <f t="shared" si="1"/>
        <v/>
      </c>
      <c r="N23" s="34" t="s">
        <v>5</v>
      </c>
      <c r="O23"/>
    </row>
    <row r="24" spans="1:16" x14ac:dyDescent="0.25">
      <c r="A24" s="1" t="str">
        <f>IF(C24&gt;0,MAX(A$8:A23)+1,"")</f>
        <v/>
      </c>
      <c r="B24" s="23">
        <f>IF(E$2="DM",0.0000001,IF(L21=0,0.00000001,L21))</f>
        <v>1E-8</v>
      </c>
      <c r="C24" s="27">
        <f>INT(ROUND((G$6-SUMPRODUCT(C$7:C23,B$7:B23))/B24,5))</f>
        <v>0</v>
      </c>
      <c r="D24" s="7" t="str">
        <f>IF(C24=0,"",B24)</f>
        <v/>
      </c>
      <c r="E24" s="1">
        <v>16</v>
      </c>
      <c r="G24" s="3" t="str">
        <f t="shared" si="2"/>
        <v/>
      </c>
      <c r="I24" s="25" t="str">
        <f t="shared" si="3"/>
        <v/>
      </c>
      <c r="K24" s="33" t="str">
        <f t="shared" si="0"/>
        <v/>
      </c>
      <c r="L24" s="26"/>
      <c r="M24" s="19" t="str">
        <f t="shared" si="1"/>
        <v/>
      </c>
      <c r="N24" s="41" t="s">
        <v>4</v>
      </c>
      <c r="O24"/>
    </row>
    <row r="25" spans="1:16" x14ac:dyDescent="0.25">
      <c r="A25" s="1" t="str">
        <f>IF(C25&gt;0,MAX(A$8:A24)+1,"")</f>
        <v/>
      </c>
      <c r="B25" s="23">
        <f>IF(E$2="DM",0.0000001,IF(L22=0,0.00000001,L22))</f>
        <v>1E-8</v>
      </c>
      <c r="C25" s="27">
        <f>INT(ROUND((G$6-SUMPRODUCT(C$7:C24,B$7:B24))/B25,5))</f>
        <v>0</v>
      </c>
      <c r="D25" s="7" t="str">
        <f>IF(C25=0,"",B25)</f>
        <v/>
      </c>
      <c r="E25" s="1">
        <v>17</v>
      </c>
      <c r="G25" s="3" t="str">
        <f t="shared" si="2"/>
        <v/>
      </c>
      <c r="I25" s="25" t="str">
        <f t="shared" si="3"/>
        <v/>
      </c>
      <c r="K25" s="33"/>
      <c r="L25" s="26"/>
      <c r="M25" s="19" t="str">
        <f t="shared" si="1"/>
        <v/>
      </c>
      <c r="N25"/>
      <c r="O25"/>
    </row>
    <row r="26" spans="1:16" x14ac:dyDescent="0.25">
      <c r="A26" s="1" t="str">
        <f>IF(C26&gt;0,MAX(A$8:A25)+1,"")</f>
        <v/>
      </c>
      <c r="B26" s="23">
        <f>IF(E$2="DM",0.0000001,IF(L23=0,0.00000001,L23))</f>
        <v>1E-8</v>
      </c>
      <c r="C26" s="27">
        <f>INT(ROUND((G$6-SUMPRODUCT(C$7:C25,B$7:B25))/B26,5))</f>
        <v>0</v>
      </c>
      <c r="D26" s="7" t="str">
        <f>IF(C26=0,"",B26)</f>
        <v/>
      </c>
      <c r="E26" s="1">
        <v>18</v>
      </c>
      <c r="G26" s="3" t="str">
        <f t="shared" si="2"/>
        <v/>
      </c>
      <c r="I26" s="25" t="str">
        <f t="shared" si="3"/>
        <v/>
      </c>
      <c r="K26" s="3"/>
      <c r="L26" s="26"/>
      <c r="M26" s="28" t="str">
        <f>IF(L26&lt;&gt;0," maximal 20 !","")</f>
        <v/>
      </c>
      <c r="N26"/>
      <c r="O26"/>
    </row>
    <row r="27" spans="1:16" x14ac:dyDescent="0.25">
      <c r="A27" s="1" t="str">
        <f>IF(C27&gt;0,MAX(A$8:A26)+1,"")</f>
        <v/>
      </c>
      <c r="B27" s="23">
        <f>IF(E$2="DM",0.0000001,IF(L24=0,0.00000001,L24))</f>
        <v>1E-8</v>
      </c>
      <c r="C27" s="27">
        <f>INT(ROUND((G$6-SUMPRODUCT(C$7:C26,B$7:B26))/B27,5))</f>
        <v>0</v>
      </c>
      <c r="D27" s="7" t="str">
        <f>IF(C27=0,"",B27)</f>
        <v/>
      </c>
      <c r="E27" s="1">
        <v>19</v>
      </c>
      <c r="G27" s="3" t="str">
        <f t="shared" si="2"/>
        <v/>
      </c>
      <c r="I27" s="25" t="str">
        <f t="shared" si="3"/>
        <v/>
      </c>
    </row>
    <row r="28" spans="1:16" x14ac:dyDescent="0.25">
      <c r="A28" s="1" t="str">
        <f>IF(C28&gt;0,MAX(A$8:A27)+1,"")</f>
        <v/>
      </c>
      <c r="B28" s="23">
        <f>IF(E$2="DM",0.0000001,IF(L25=0,0.00000001,L25))</f>
        <v>1E-8</v>
      </c>
      <c r="C28" s="27">
        <f>INT(ROUND((G$6-SUMPRODUCT(C$7:C27,B$7:B27))/B28,5))</f>
        <v>0</v>
      </c>
      <c r="D28" s="7" t="str">
        <f>IF(C28=0,"",B28)</f>
        <v/>
      </c>
      <c r="E28" s="1">
        <v>20</v>
      </c>
      <c r="G28" s="3" t="str">
        <f t="shared" si="2"/>
        <v/>
      </c>
      <c r="I28" s="25" t="str">
        <f t="shared" si="3"/>
        <v/>
      </c>
    </row>
    <row r="30" spans="1:16" x14ac:dyDescent="0.25">
      <c r="B30" s="23">
        <f>SUM(C9:C15)</f>
        <v>12</v>
      </c>
      <c r="C30" s="30">
        <f>SUM(C16:C23)</f>
        <v>0</v>
      </c>
    </row>
    <row r="31" spans="1:16" x14ac:dyDescent="0.25">
      <c r="B31" s="23">
        <f>COUNTIF(C9:C15,"&gt;0")</f>
        <v>5</v>
      </c>
      <c r="C31" s="30">
        <f>COUNTIF(C16:C23,"&gt;0")</f>
        <v>0</v>
      </c>
    </row>
    <row r="32" spans="1:16" x14ac:dyDescent="0.25">
      <c r="B32" s="20" t="s">
        <v>2</v>
      </c>
    </row>
    <row r="33" spans="2:2" x14ac:dyDescent="0.25">
      <c r="B33" s="20" t="s">
        <v>3</v>
      </c>
    </row>
  </sheetData>
  <phoneticPr fontId="0" type="noConversion"/>
  <conditionalFormatting sqref="L5">
    <cfRule type="expression" dxfId="0" priority="1">
      <formula>LEFT(L5)="E"</formula>
    </cfRule>
  </conditionalFormatting>
  <pageMargins left="0.78740157499999996" right="0.78740157499999996" top="0.984251969" bottom="0.984251969" header="0.4921259845" footer="0.4921259845"/>
  <pageSetup paperSize="9" orientation="portrait" blackAndWhite="1" horizontalDpi="300" verticalDpi="300" r:id="rId1"/>
  <headerFooter alignWithMargins="0">
    <oddFooter>&amp;R&amp;F; 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Stück</vt:lpstr>
      <vt:lpstr>Stück!Druckbereich</vt:lpstr>
    </vt:vector>
  </TitlesOfParts>
  <Company>WF-Hütte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</dc:creator>
  <cp:lastModifiedBy>WF</cp:lastModifiedBy>
  <dcterms:created xsi:type="dcterms:W3CDTF">2014-03-05T07:29:53Z</dcterms:created>
  <dcterms:modified xsi:type="dcterms:W3CDTF">2017-01-31T10:18:41Z</dcterms:modified>
</cp:coreProperties>
</file>